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2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/>
</workbook>
</file>

<file path=xl/sharedStrings.xml><?xml version="1.0" encoding="utf-8"?>
<sst xmlns="http://schemas.openxmlformats.org/spreadsheetml/2006/main" count="167" uniqueCount="141">
  <si>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</si>
  <si>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</si>
  <si>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</si>
  <si>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</si>
  <si>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</si>
  <si>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</si>
  <si>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</si>
  <si>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</si>
  <si>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</si>
  <si>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</si>
  <si>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</si>
  <si>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</si>
  <si>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</si>
  <si>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</si>
  <si>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</si>
  <si>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</si>
  <si>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</si>
  <si>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</si>
  <si>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</si>
  <si>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</si>
  <si>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</si>
  <si>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</si>
  <si>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</si>
  <si>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</si>
  <si>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</si>
  <si>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</si>
  <si>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</si>
  <si>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</si>
  <si>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</si>
  <si>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>כללי</t>
  </si>
  <si>
    <t>הלכתי</t>
  </si>
  <si>
    <t>סה"כ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</si>
  <si>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</si>
  <si>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</si>
  <si>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</si>
  <si>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</si>
  <si>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</si>
  <si>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</si>
  <si>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</si>
  <si>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</si>
  <si>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</si>
  <si>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</si>
  <si>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</si>
  <si>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</si>
  <si>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</si>
  <si>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</si>
  <si>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</si>
  <si>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</si>
  <si>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</si>
  <si>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</si>
  <si>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</si>
  <si>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</si>
  <si>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</si>
  <si>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</si>
  <si>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</si>
  <si>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תעודות סל ישראלית</t>
  </si>
  <si>
    <t>תעודות סל זרה</t>
  </si>
  <si>
    <t>סך הכל עמלות בגין תשלום השקעה בתעודת סל</t>
  </si>
  <si>
    <t>בנק לאומי</t>
  </si>
  <si>
    <t>בנק דיסקונט</t>
  </si>
  <si>
    <t>אי.בי.אי.</t>
  </si>
  <si>
    <t>פועלים סהר</t>
  </si>
  <si>
    <t>profimex קרן השקעה בקרנות נדלן</t>
  </si>
  <si>
    <t>קרן השקעה IGP</t>
  </si>
  <si>
    <t>יסודות א' נדלן ופיתוח שותפות מוגבלת</t>
  </si>
  <si>
    <t>ריאליטי קרן השקעות 2</t>
  </si>
  <si>
    <t>FIMI OPPORTUNITY V מורים</t>
  </si>
  <si>
    <t>קרן תש"י - קרן 2 (מורים)</t>
  </si>
  <si>
    <t>קרן השתלמות למורים וגננות - מאוחד</t>
  </si>
  <si>
    <t>סה"כ ניכוי מס</t>
  </si>
  <si>
    <t>שעור הוצאות מס מסך הנכסים</t>
  </si>
  <si>
    <t>פסגות ני"ע בע"מ</t>
  </si>
  <si>
    <t>Pi Emerging Markets Segregated II CLass B 01/16</t>
  </si>
  <si>
    <t>STAGE 1</t>
  </si>
  <si>
    <t>אייפקס מדיום ישראל מורים</t>
  </si>
  <si>
    <t>בלו אטלנטיק פרטנרס</t>
  </si>
  <si>
    <t>לידר</t>
  </si>
  <si>
    <t>פימי 6 אופורטוניטי ישראל FIMI</t>
  </si>
  <si>
    <t>ת.ש.י דרכים ש.מ class a</t>
  </si>
  <si>
    <t>קרן שקד</t>
  </si>
  <si>
    <t>דניאל קיסריה אנרגיה מורים</t>
  </si>
  <si>
    <t>דרך הצפון (ע.ג.), שותפות מוגבלת</t>
  </si>
  <si>
    <t>גורילה טרבל</t>
  </si>
  <si>
    <t>אלפא מים פרטנרס</t>
  </si>
  <si>
    <t>קרן טנא</t>
  </si>
  <si>
    <t>טנא הון צמיחה 4</t>
  </si>
  <si>
    <t>STAGE ONE 3</t>
  </si>
  <si>
    <t>תש"י רכבת קלה ירושלים</t>
  </si>
  <si>
    <t>טוליפ קפיטל מורים</t>
  </si>
  <si>
    <t>קרן נוקד אקווטי מורים</t>
  </si>
  <si>
    <t>בלו אטלנטיק 2</t>
  </si>
  <si>
    <t>קרן אלפא הזדמנויות</t>
  </si>
  <si>
    <t>ALTO FUND III מורים</t>
  </si>
  <si>
    <t>Levine Leichtman VI</t>
  </si>
  <si>
    <t>קרן קוגיטו קפיטל מורים</t>
  </si>
  <si>
    <t>פנתיאון אקסס מורים</t>
  </si>
  <si>
    <t>ברוקר חול</t>
  </si>
  <si>
    <t>מיטב דרייד ני"ע</t>
  </si>
  <si>
    <t>אחר</t>
  </si>
  <si>
    <t>IGP INVESTMENTS II</t>
  </si>
  <si>
    <t>הליוס אנרגיה מתחדשת 4</t>
  </si>
  <si>
    <t>יסודות 2</t>
  </si>
  <si>
    <t>INSIGHT X</t>
  </si>
  <si>
    <t>Bain Special Situation Europe</t>
  </si>
  <si>
    <t>ICG Europe VII מורים</t>
  </si>
  <si>
    <t>קרן וינטאג' 5 אקסס מורים</t>
  </si>
  <si>
    <t>ION ISRAEL FEEDER FUND LTD</t>
  </si>
  <si>
    <t>Electra Multifamily II</t>
  </si>
  <si>
    <t>בנק מיזרחי</t>
  </si>
  <si>
    <t>ICG NORTH AMEIRCA מורים</t>
  </si>
  <si>
    <t>BlueBay מורים</t>
  </si>
  <si>
    <t>SPHERA FD D</t>
  </si>
  <si>
    <t>קרן נוי 3 להשקעה בתשתיות אנרגי</t>
  </si>
  <si>
    <t>קרן ברוקפילד</t>
  </si>
  <si>
    <t>Hamilton Lane CI IV מורים</t>
  </si>
  <si>
    <t xml:space="preserve">שיעור סך הוצאות ישירות מתוך יתרת נכסים ממוצעת (באחוזים) </t>
  </si>
  <si>
    <t>ריאליטי 4 מורים</t>
  </si>
  <si>
    <t>פרגרין ונצ'רם</t>
  </si>
  <si>
    <t>קרן פונטיפקס 5</t>
  </si>
  <si>
    <t>BLUE ATLANTIC PARTNERS III מורים</t>
  </si>
  <si>
    <t>GIP IV פסגות</t>
  </si>
  <si>
    <t>Welsch Carson XIII</t>
  </si>
  <si>
    <t>Forma Fund מורים</t>
  </si>
  <si>
    <t>KLIRMARK III מורים</t>
  </si>
  <si>
    <t>תשתיות ישראל 3</t>
  </si>
  <si>
    <t>יסודות ג' נדלן ופיתוח שותפות מוגבלת</t>
  </si>
  <si>
    <t>Harbourvest Dover 10 מורים</t>
  </si>
  <si>
    <t>בנק הפועלים</t>
  </si>
  <si>
    <t>קרן קיסטון ריט בע"מ מורים</t>
  </si>
  <si>
    <t>Insight Partners XI מורים</t>
  </si>
  <si>
    <t>קרן בלקסטון 9</t>
  </si>
  <si>
    <t>אקסלנס</t>
  </si>
  <si>
    <t>תשלום בגין השקעה בקרנות סל</t>
  </si>
  <si>
    <t>01/09/2019-31/08/2020</t>
  </si>
  <si>
    <t>Pantheon Global Secondary Fund VI</t>
  </si>
  <si>
    <t>MV SENIOR 2 מורים</t>
  </si>
  <si>
    <t>Madison Realty Capital Debt Fund V</t>
  </si>
  <si>
    <t>אלקטרה נדל"ן 3 מורים</t>
  </si>
  <si>
    <t>קוגיטו בי.אם.אי מורים</t>
  </si>
  <si>
    <t>אלפא מים פרטנרס 2</t>
  </si>
  <si>
    <t>עמלות קרנות השקעה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</si>
</sst>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₪&quot;#,##0.00;[Red]&quot;₪&quot;\-#,##0.00"/>
    <numFmt numFmtId="181" formatCode="0.000%"/>
    <numFmt numFmtId="182" formatCode="#,##0.000000000"/>
    <numFmt numFmtId="183" formatCode="0.000000"/>
    <numFmt numFmtId="184" formatCode="0.00000"/>
    <numFmt numFmtId="185" formatCode="_ * #,##0.0_ ;_ * \-#,##0.0_ ;_ * &quot;-&quot;??_ ;_ @_ "/>
    <numFmt numFmtId="186" formatCode="_ * #,##0_ ;_ * \-#,##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9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0" fontId="23" fillId="0" borderId="10" xfId="36" applyBorder="1" applyAlignment="1">
      <alignment horizontal="right"/>
      <protection/>
    </xf>
    <xf numFmtId="0" fontId="1" fillId="0" borderId="10" xfId="0" applyFont="1" applyBorder="1" applyAlignment="1">
      <alignment horizontal="right"/>
    </xf>
    <xf numFmtId="49" fontId="4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23" fillId="0" borderId="10" xfId="36" applyFill="1" applyBorder="1">
      <alignment/>
      <protection/>
    </xf>
    <xf numFmtId="0" fontId="23" fillId="0" borderId="10" xfId="36" applyFill="1" applyBorder="1" applyAlignment="1">
      <alignment horizontal="right"/>
      <protection/>
    </xf>
    <xf numFmtId="4" fontId="0" fillId="0" borderId="10" xfId="0" applyNumberFormat="1" applyFont="1" applyBorder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Normal 3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5"/>
  <sheetViews>
    <sheetView rightToLeft="1" zoomScalePageLayoutView="0" workbookViewId="0" topLeftCell="A28">
      <selection activeCell="C39" sqref="C39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</cols>
  <sheetData>
    <row r="2" ht="12.75">
      <c r="B2" s="8" t="s">
        <v>19</v>
      </c>
    </row>
    <row r="3" ht="12.75">
      <c r="B3" s="14" t="s">
        <v>133</v>
      </c>
    </row>
    <row r="4" spans="3:6" ht="13.5" customHeight="1">
      <c r="C4" s="16" t="s">
        <v>29</v>
      </c>
      <c r="D4" s="16" t="s">
        <v>30</v>
      </c>
      <c r="E4" s="16" t="s">
        <v>32</v>
      </c>
      <c r="F4" s="16" t="s">
        <v>31</v>
      </c>
    </row>
    <row r="5" spans="2:6" ht="19.5" customHeight="1">
      <c r="B5" s="21" t="s">
        <v>68</v>
      </c>
      <c r="C5" s="16" t="s">
        <v>6</v>
      </c>
      <c r="D5" s="17" t="s">
        <v>6</v>
      </c>
      <c r="E5" s="17" t="s">
        <v>6</v>
      </c>
      <c r="F5" s="17" t="s">
        <v>6</v>
      </c>
    </row>
    <row r="6" spans="2:6" ht="19.5" customHeight="1">
      <c r="B6" s="7"/>
      <c r="C6" s="17"/>
      <c r="D6" s="17"/>
      <c r="E6" s="17"/>
      <c r="F6" s="17"/>
    </row>
    <row r="7" spans="2:6" ht="15">
      <c r="B7" s="7" t="s">
        <v>34</v>
      </c>
      <c r="C7" s="9"/>
      <c r="D7" s="9"/>
      <c r="E7" s="9"/>
      <c r="F7" s="9"/>
    </row>
    <row r="8" spans="2:6" ht="12.75">
      <c r="B8" s="3" t="s">
        <v>1</v>
      </c>
      <c r="C8" s="15">
        <f>'נספח 2'!C9</f>
        <v>484.11803999999995</v>
      </c>
      <c r="D8" s="15">
        <f>'נספח 2'!D9</f>
        <v>8.9467</v>
      </c>
      <c r="E8" s="15">
        <f>'נספח 2'!E9</f>
        <v>0.49805</v>
      </c>
      <c r="F8" s="15">
        <f>SUM(C8:E8)</f>
        <v>493.56278999999995</v>
      </c>
    </row>
    <row r="9" spans="2:6" ht="12.75">
      <c r="B9" s="3" t="s">
        <v>0</v>
      </c>
      <c r="C9" s="15">
        <f>'נספח 2'!C26</f>
        <v>3631.1964300000004</v>
      </c>
      <c r="D9" s="15">
        <f>'נספח 2'!D26</f>
        <v>104.90851</v>
      </c>
      <c r="E9" s="15">
        <f>'נספח 2'!E26</f>
        <v>1.6672500000000001</v>
      </c>
      <c r="F9" s="15">
        <f>SUM(C9:E9)</f>
        <v>3737.7721900000006</v>
      </c>
    </row>
    <row r="10" spans="2:6" ht="12.75">
      <c r="B10" s="3"/>
      <c r="C10" s="15"/>
      <c r="D10" s="15"/>
      <c r="E10" s="15"/>
      <c r="F10" s="15"/>
    </row>
    <row r="11" spans="2:6" ht="14.25" customHeight="1">
      <c r="B11" s="7" t="s">
        <v>35</v>
      </c>
      <c r="C11" s="15"/>
      <c r="D11" s="15"/>
      <c r="E11" s="15"/>
      <c r="F11" s="15"/>
    </row>
    <row r="12" spans="2:6" ht="12.75">
      <c r="B12" s="3" t="s">
        <v>2</v>
      </c>
      <c r="C12" s="15"/>
      <c r="D12" s="15"/>
      <c r="E12" s="15"/>
      <c r="F12" s="15"/>
    </row>
    <row r="13" spans="2:6" ht="12.75">
      <c r="B13" s="3" t="s">
        <v>3</v>
      </c>
      <c r="C13" s="15">
        <f>'נספח 2'!C34</f>
        <v>6.24624</v>
      </c>
      <c r="D13" s="15">
        <f>'נספח 2'!D34</f>
        <v>0</v>
      </c>
      <c r="E13" s="15">
        <f>'נספח 2'!E34</f>
        <v>0</v>
      </c>
      <c r="F13" s="15">
        <f>SUM(C13:E13)</f>
        <v>6.24624</v>
      </c>
    </row>
    <row r="14" spans="2:6" ht="12.75">
      <c r="B14" s="3"/>
      <c r="C14" s="15"/>
      <c r="D14" s="15"/>
      <c r="E14" s="15"/>
      <c r="F14" s="15"/>
    </row>
    <row r="15" spans="2:6" ht="15">
      <c r="B15" s="7" t="s">
        <v>36</v>
      </c>
      <c r="C15" s="15"/>
      <c r="D15" s="15"/>
      <c r="E15" s="15"/>
      <c r="F15" s="15"/>
    </row>
    <row r="16" spans="2:6" ht="12.75">
      <c r="B16" s="3" t="s">
        <v>37</v>
      </c>
      <c r="C16" s="15">
        <f>'נספח 2'!C43</f>
        <v>357.92099</v>
      </c>
      <c r="D16" s="15">
        <f>'נספח 2'!D43</f>
        <v>0.834</v>
      </c>
      <c r="E16" s="15">
        <f>'נספח 2'!E43</f>
        <v>0.003</v>
      </c>
      <c r="F16" s="15">
        <f>SUM(C16:E16)</f>
        <v>358.75799</v>
      </c>
    </row>
    <row r="17" spans="2:6" ht="12.75">
      <c r="B17" s="3" t="s">
        <v>38</v>
      </c>
      <c r="C17" s="15"/>
      <c r="D17" s="15"/>
      <c r="E17" s="15"/>
      <c r="F17" s="15"/>
    </row>
    <row r="18" spans="2:6" ht="12.75">
      <c r="B18" s="3" t="s">
        <v>39</v>
      </c>
      <c r="C18" s="15"/>
      <c r="D18" s="15"/>
      <c r="E18" s="15"/>
      <c r="F18" s="15"/>
    </row>
    <row r="19" spans="2:6" ht="12.75">
      <c r="B19" s="3"/>
      <c r="C19" s="15"/>
      <c r="D19" s="15"/>
      <c r="E19" s="15"/>
      <c r="F19" s="15"/>
    </row>
    <row r="20" spans="2:6" ht="15">
      <c r="B20" s="7" t="s">
        <v>40</v>
      </c>
      <c r="C20" s="15"/>
      <c r="D20" s="15"/>
      <c r="E20" s="15"/>
      <c r="F20" s="15"/>
    </row>
    <row r="21" spans="2:6" ht="12.75">
      <c r="B21" s="3" t="s">
        <v>41</v>
      </c>
      <c r="C21" s="15">
        <f>'נספח 3'!C43</f>
        <v>11050.09136175823</v>
      </c>
      <c r="D21" s="15">
        <f>'נספח 3'!D43</f>
        <v>0</v>
      </c>
      <c r="E21" s="15">
        <f>'נספח 3'!E43</f>
        <v>0</v>
      </c>
      <c r="F21" s="15">
        <f>SUM(C21:E21)</f>
        <v>11050.09136175823</v>
      </c>
    </row>
    <row r="22" spans="2:6" ht="12.75">
      <c r="B22" s="3" t="s">
        <v>42</v>
      </c>
      <c r="C22" s="15">
        <f>'נספח 3'!C79</f>
        <v>11123.616947286868</v>
      </c>
      <c r="D22" s="15">
        <f>'נספח 3'!D79</f>
        <v>0</v>
      </c>
      <c r="E22" s="15">
        <f>'נספח 3'!E79</f>
        <v>0</v>
      </c>
      <c r="F22" s="15">
        <f>SUM(C22:E22)</f>
        <v>11123.616947286868</v>
      </c>
    </row>
    <row r="23" spans="2:6" ht="12.75">
      <c r="B23" s="6" t="s">
        <v>4</v>
      </c>
      <c r="C23" s="15"/>
      <c r="D23" s="15"/>
      <c r="E23" s="15"/>
      <c r="F23" s="15"/>
    </row>
    <row r="24" spans="2:6" ht="12.75">
      <c r="B24" s="6" t="s">
        <v>13</v>
      </c>
      <c r="C24" s="15"/>
      <c r="D24" s="15"/>
      <c r="E24" s="15"/>
      <c r="F24" s="15"/>
    </row>
    <row r="25" spans="2:6" ht="12.75">
      <c r="B25" s="3" t="s">
        <v>43</v>
      </c>
      <c r="C25" s="15">
        <f>'נספח 3'!C90</f>
        <v>339.29568322534203</v>
      </c>
      <c r="D25" s="15">
        <f>'נספח 3'!D90</f>
        <v>0</v>
      </c>
      <c r="E25" s="15">
        <f>'נספח 3'!E90</f>
        <v>0</v>
      </c>
      <c r="F25" s="15">
        <f>SUM(C25:E25)</f>
        <v>339.29568322534203</v>
      </c>
    </row>
    <row r="26" spans="2:6" ht="12.75">
      <c r="B26" s="3" t="s">
        <v>44</v>
      </c>
      <c r="C26" s="15">
        <f>'נספח 3'!C91</f>
        <v>3097.692913629</v>
      </c>
      <c r="D26" s="15">
        <f>'נספח 3'!D91</f>
        <v>50.6241731540712</v>
      </c>
      <c r="E26" s="15">
        <f>'נספח 3'!E91</f>
        <v>2.37042231726027</v>
      </c>
      <c r="F26" s="15">
        <f>SUM(C26:E26)</f>
        <v>3150.6875091003317</v>
      </c>
    </row>
    <row r="27" spans="2:6" ht="12.75">
      <c r="B27" s="6" t="s">
        <v>45</v>
      </c>
      <c r="C27" s="15">
        <f>'נספח 3'!C95</f>
        <v>-1248.2292599498778</v>
      </c>
      <c r="D27" s="15">
        <f>'נספח 3'!D95</f>
        <v>2.8425396227026685</v>
      </c>
      <c r="E27" s="15">
        <f>'נספח 3'!E95</f>
        <v>0.009499578287671227</v>
      </c>
      <c r="F27" s="15">
        <f>SUM(C27:E27)</f>
        <v>-1245.3772207488876</v>
      </c>
    </row>
    <row r="28" spans="2:6" ht="12.75">
      <c r="B28" s="6" t="s">
        <v>46</v>
      </c>
      <c r="C28" s="15">
        <f>'נספח 3'!C96</f>
        <v>2468.401426458719</v>
      </c>
      <c r="D28" s="15">
        <f>'נספח 3'!D96</f>
        <v>136.5144497403945</v>
      </c>
      <c r="E28" s="15">
        <f>'נספח 3'!E96</f>
        <v>-0.09711</v>
      </c>
      <c r="F28" s="15">
        <f>SUM(C28:E28)</f>
        <v>2604.8187661991133</v>
      </c>
    </row>
    <row r="29" spans="2:6" ht="12.75">
      <c r="B29" s="6"/>
      <c r="C29" s="15"/>
      <c r="D29" s="15"/>
      <c r="E29" s="15"/>
      <c r="F29" s="15"/>
    </row>
    <row r="30" spans="2:6" ht="15">
      <c r="B30" s="7" t="s">
        <v>47</v>
      </c>
      <c r="C30" s="15"/>
      <c r="D30" s="15"/>
      <c r="E30" s="15"/>
      <c r="F30" s="15"/>
    </row>
    <row r="31" spans="2:6" ht="12.75">
      <c r="B31" s="3" t="s">
        <v>48</v>
      </c>
      <c r="C31" s="15"/>
      <c r="D31" s="15"/>
      <c r="E31" s="15"/>
      <c r="F31" s="15"/>
    </row>
    <row r="32" spans="2:6" ht="12.75">
      <c r="B32" s="3" t="s">
        <v>49</v>
      </c>
      <c r="C32" s="15"/>
      <c r="D32" s="15"/>
      <c r="E32" s="15"/>
      <c r="F32" s="15"/>
    </row>
    <row r="33" spans="2:6" ht="12.75">
      <c r="B33" s="2"/>
      <c r="C33" s="15"/>
      <c r="D33" s="15"/>
      <c r="E33" s="15"/>
      <c r="F33" s="15"/>
    </row>
    <row r="34" spans="2:6" ht="12.75">
      <c r="B34" s="3" t="s">
        <v>5</v>
      </c>
      <c r="C34" s="15">
        <f>+C9+C13+C16+C21+C22+C27+C28+C8+C26+C25</f>
        <v>31310.35077240829</v>
      </c>
      <c r="D34" s="15">
        <f>+D9+D13+D16+D21+D22+D27+D28+D8+D26</f>
        <v>304.6703725171684</v>
      </c>
      <c r="E34" s="15">
        <f>+E9+E13+E16+E21+E22+E27+E28+E8+E26</f>
        <v>4.451111895547941</v>
      </c>
      <c r="F34" s="15">
        <f>SUM(C34:E34)</f>
        <v>31619.472256821005</v>
      </c>
    </row>
    <row r="35" spans="2:6" ht="12.75">
      <c r="B35" s="3"/>
      <c r="C35" s="15"/>
      <c r="D35" s="15"/>
      <c r="E35" s="15"/>
      <c r="F35" s="15"/>
    </row>
    <row r="36" spans="2:6" ht="25.5">
      <c r="B36" s="19" t="s">
        <v>50</v>
      </c>
      <c r="C36" s="20">
        <f>(C16+C21+C22+C27+C28+C32+C26+C25)/C39</f>
        <v>0.0017673129831138556</v>
      </c>
      <c r="D36" s="20">
        <f>(D16+D21+D22+D27+D28+D32+D26)/D39</f>
        <v>0.0004082760533822777</v>
      </c>
      <c r="E36" s="20">
        <f>(E16+E21+E22+E27+E28+E32+E26)/E39</f>
        <v>0.0001548653045764188</v>
      </c>
      <c r="F36" s="20">
        <f>(F16+F21+F22+F27+F28+F32)/F39</f>
        <v>0.0015058196222878628</v>
      </c>
    </row>
    <row r="37" spans="2:6" ht="12.75">
      <c r="B37" s="19" t="s">
        <v>115</v>
      </c>
      <c r="C37" s="20">
        <f>C34/((15384253+16470897)/2)</f>
        <v>0.0019657952181928694</v>
      </c>
      <c r="D37" s="20">
        <f>D34/((467368+553401)/2)</f>
        <v>0.0005969428392068498</v>
      </c>
      <c r="E37" s="20">
        <f>E34/((14760+13031)/2)</f>
        <v>0.0003203275805511094</v>
      </c>
      <c r="F37" s="20">
        <f>F34/F39</f>
        <v>0.001992859761581485</v>
      </c>
    </row>
    <row r="38" spans="2:6" ht="12.75">
      <c r="B38" s="2"/>
      <c r="C38" s="15"/>
      <c r="D38" s="15"/>
      <c r="E38" s="15"/>
      <c r="F38" s="15"/>
    </row>
    <row r="39" spans="2:6" ht="12.75">
      <c r="B39" s="3" t="s">
        <v>33</v>
      </c>
      <c r="C39" s="15">
        <v>15384253</v>
      </c>
      <c r="D39" s="15">
        <v>467368</v>
      </c>
      <c r="E39" s="15">
        <v>14760</v>
      </c>
      <c r="F39" s="15">
        <f>SUM(C39:E39)</f>
        <v>15866381</v>
      </c>
    </row>
    <row r="41" spans="2:6" ht="12.75" hidden="1">
      <c r="B41" s="3" t="s">
        <v>69</v>
      </c>
      <c r="C41" s="15">
        <v>5433</v>
      </c>
      <c r="D41" s="15">
        <v>188</v>
      </c>
      <c r="E41" s="15">
        <v>0</v>
      </c>
      <c r="F41" s="15">
        <f>SUM(C41:E41)</f>
        <v>5621</v>
      </c>
    </row>
    <row r="42" spans="2:6" ht="12.75" hidden="1">
      <c r="B42" s="19" t="s">
        <v>70</v>
      </c>
      <c r="C42" s="20">
        <f>C41/C39</f>
        <v>0.0003531533185264179</v>
      </c>
      <c r="D42" s="20">
        <f>D41/D39</f>
        <v>0.00040225261464199515</v>
      </c>
      <c r="E42" s="20">
        <f>E41/E39</f>
        <v>0</v>
      </c>
      <c r="F42" s="20">
        <f>F41/F39</f>
        <v>0.0003542710842504034</v>
      </c>
    </row>
    <row r="45" spans="3:5" ht="12.75">
      <c r="C45" s="26"/>
      <c r="D45" s="26"/>
      <c r="E45" s="2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rightToLeft="1" zoomScalePageLayoutView="0" workbookViewId="0" topLeftCell="A31">
      <selection activeCell="D39" sqref="D39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18</v>
      </c>
      <c r="C2" s="1"/>
    </row>
    <row r="3" spans="2:3" ht="14.25" customHeight="1">
      <c r="B3" s="13" t="str">
        <f>'נספח 1'!B3</f>
        <v>01/09/2019-31/08/2020</v>
      </c>
      <c r="C3" s="1"/>
    </row>
    <row r="4" spans="2:6" ht="12.75">
      <c r="B4" s="1"/>
      <c r="C4" s="16" t="s">
        <v>29</v>
      </c>
      <c r="D4" s="16" t="s">
        <v>30</v>
      </c>
      <c r="E4" s="16" t="s">
        <v>32</v>
      </c>
      <c r="F4" s="16" t="s">
        <v>31</v>
      </c>
    </row>
    <row r="5" spans="2:6" ht="25.5" customHeight="1">
      <c r="B5" s="7" t="str">
        <f>'נספח 1'!B5</f>
        <v>קרן השתלמות למורים וגננות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0"/>
      <c r="D8" s="10"/>
      <c r="E8" s="10"/>
      <c r="F8" s="10"/>
    </row>
    <row r="9" spans="2:6" ht="12.75">
      <c r="B9" s="22" t="s">
        <v>71</v>
      </c>
      <c r="C9" s="10">
        <f>107.56401+151056.27/1000+144576.14/1000+80921.62/1000</f>
        <v>484.11803999999995</v>
      </c>
      <c r="D9" s="10">
        <f>4.45651+2675.44/1000+1110.09/1000+704.66/1000</f>
        <v>8.9467</v>
      </c>
      <c r="E9" s="10">
        <f>0.37238+56.56/1000+34.2/1000+34.91/1000</f>
        <v>0.49805</v>
      </c>
      <c r="F9" s="23">
        <f aca="true" t="shared" si="0" ref="F9:F20">SUM(C9:E9)</f>
        <v>493.56278999999995</v>
      </c>
    </row>
    <row r="10" spans="2:6" ht="12.75">
      <c r="B10" s="3" t="s">
        <v>21</v>
      </c>
      <c r="C10" s="10"/>
      <c r="D10" s="10"/>
      <c r="E10" s="10"/>
      <c r="F10" s="23"/>
    </row>
    <row r="11" spans="2:6" ht="12.75">
      <c r="B11" s="11" t="s">
        <v>16</v>
      </c>
      <c r="C11" s="10">
        <f>336822.23/1000+490609.15/1000+539989.86/1000+78747.17/1000</f>
        <v>1446.1684100000002</v>
      </c>
      <c r="D11" s="10">
        <f>17.18861+12599.09/1000+42945.95/1000+9849.95/1000</f>
        <v>82.5836</v>
      </c>
      <c r="E11" s="10">
        <f>0.15566+473.48/1000+105.99/1000+322.8/1000</f>
        <v>1.05793</v>
      </c>
      <c r="F11" s="23">
        <f t="shared" si="0"/>
        <v>1529.80994</v>
      </c>
    </row>
    <row r="12" spans="2:6" ht="12.75">
      <c r="B12" s="11" t="s">
        <v>60</v>
      </c>
      <c r="C12" s="33">
        <f>21.47324+58288.79/1000+104867.69/1000+75077.92/1000</f>
        <v>259.70763999999997</v>
      </c>
      <c r="D12" s="10">
        <f>0.51953+273.66/1000+1293.82/1000+385.39/1000</f>
        <v>2.4724000000000004</v>
      </c>
      <c r="E12" s="10">
        <f>0.01191+9.2/1000+37.97/1000</f>
        <v>0.059079999999999994</v>
      </c>
      <c r="F12" s="23">
        <f t="shared" si="0"/>
        <v>262.23911999999996</v>
      </c>
    </row>
    <row r="13" spans="2:6" ht="12.75">
      <c r="B13" s="12" t="s">
        <v>59</v>
      </c>
      <c r="C13" s="10">
        <f>82.4469+58439.08/1000+29748.1/1000+17302.48/1000</f>
        <v>187.93656000000001</v>
      </c>
      <c r="D13" s="10">
        <f>3.18522+501.52/1000+336.98/1000+520.02/1000</f>
        <v>4.54374</v>
      </c>
      <c r="E13" s="10">
        <f>0.04526+118.83/1000+6.37/1000</f>
        <v>0.17046</v>
      </c>
      <c r="F13" s="23">
        <f t="shared" si="0"/>
        <v>192.65076</v>
      </c>
    </row>
    <row r="14" spans="2:6" ht="12.75">
      <c r="B14" s="11" t="s">
        <v>58</v>
      </c>
      <c r="C14" s="10">
        <f>39.77999+16534.45/1000+38041.23/1000+19011.48/1000</f>
        <v>113.36715000000001</v>
      </c>
      <c r="D14" s="10">
        <f>0.31226+348.32/1000+108.34/1000</f>
        <v>0.7689199999999999</v>
      </c>
      <c r="E14" s="10">
        <f>0.0094+10.89/1000</f>
        <v>0.020290000000000002</v>
      </c>
      <c r="F14" s="23">
        <f t="shared" si="0"/>
        <v>114.15636</v>
      </c>
    </row>
    <row r="15" spans="2:6" ht="12.75">
      <c r="B15" s="11" t="s">
        <v>127</v>
      </c>
      <c r="C15" s="10">
        <f>13489.81/1000+18388.25/1000</f>
        <v>31.878059999999998</v>
      </c>
      <c r="D15" s="10">
        <f>200.7/1000+114.46/1000</f>
        <v>0.31516</v>
      </c>
      <c r="E15" s="10">
        <f>5.84/1000+3.08/1000</f>
        <v>0.00892</v>
      </c>
      <c r="F15" s="23"/>
    </row>
    <row r="16" spans="2:6" ht="12.75">
      <c r="B16" s="11" t="s">
        <v>76</v>
      </c>
      <c r="C16" s="10">
        <f>57.65289+36638.98/1000+76933.82/1000+47891.22/1000</f>
        <v>219.11691000000002</v>
      </c>
      <c r="D16" s="10">
        <f>1.72391+117.23/1000+726.28/1000+142.57/1000</f>
        <v>2.70999</v>
      </c>
      <c r="E16" s="10">
        <f>0.28884+4.02/1000+23.58/1000</f>
        <v>0.31644</v>
      </c>
      <c r="F16" s="23">
        <f t="shared" si="0"/>
        <v>222.14334000000002</v>
      </c>
    </row>
    <row r="17" spans="2:6" ht="12.75">
      <c r="B17" s="11" t="s">
        <v>131</v>
      </c>
      <c r="C17" s="10">
        <f>3.52126+17329.74/1000+5969.89/1000+33784.47/1000</f>
        <v>60.60536</v>
      </c>
      <c r="D17" s="33">
        <f>172.66/1000+71.62/1000</f>
        <v>0.24428</v>
      </c>
      <c r="E17" s="10">
        <f>4.82/1000+4.66/1000</f>
        <v>0.00948</v>
      </c>
      <c r="F17" s="23">
        <f t="shared" si="0"/>
        <v>60.859120000000004</v>
      </c>
    </row>
    <row r="18" spans="2:6" ht="12.75">
      <c r="B18" s="11" t="s">
        <v>97</v>
      </c>
      <c r="C18" s="10">
        <f>20.00472+22746.63/1000+30377.8/1000+41055.95/1000</f>
        <v>114.1851</v>
      </c>
      <c r="D18" s="10">
        <f>0.26634+146.08/1000+10.87/1000+425.28/1000</f>
        <v>0.84857</v>
      </c>
      <c r="E18" s="10">
        <f>0.00812+4.1/1000+11.99/1000</f>
        <v>0.024210000000000002</v>
      </c>
      <c r="F18" s="23">
        <f t="shared" si="0"/>
        <v>115.05788</v>
      </c>
    </row>
    <row r="19" spans="2:6" ht="12.75">
      <c r="B19" s="11" t="s">
        <v>108</v>
      </c>
      <c r="C19" s="10">
        <f>8.64742+4771.03/1000+5775.3/1000</f>
        <v>19.19375</v>
      </c>
      <c r="D19" s="10">
        <f>0.0141+44.19/1000</f>
        <v>0.05829</v>
      </c>
      <c r="E19" s="10">
        <v>0.00044</v>
      </c>
      <c r="F19" s="23">
        <f t="shared" si="0"/>
        <v>19.252480000000002</v>
      </c>
    </row>
    <row r="20" spans="2:6" ht="12.75">
      <c r="B20" s="11" t="s">
        <v>96</v>
      </c>
      <c r="C20" s="33">
        <f>378.85224+246310.91/1000+512888.72/1000+40985.62/1000</f>
        <v>1179.0374899999997</v>
      </c>
      <c r="D20" s="10">
        <f>6.85252+3511.04/1000</f>
        <v>10.36356</v>
      </c>
      <c r="E20" s="10">
        <v>0</v>
      </c>
      <c r="F20" s="23">
        <f t="shared" si="0"/>
        <v>1189.4010499999997</v>
      </c>
    </row>
    <row r="21" spans="2:6" ht="12.75">
      <c r="B21" s="11"/>
      <c r="C21" s="23"/>
      <c r="D21" s="23"/>
      <c r="E21" s="23"/>
      <c r="F21" s="23"/>
    </row>
    <row r="22" spans="2:6" ht="12.75">
      <c r="B22" s="11"/>
      <c r="C22" s="23"/>
      <c r="D22" s="23"/>
      <c r="E22" s="23"/>
      <c r="F22" s="23"/>
    </row>
    <row r="23" spans="2:6" ht="12.75">
      <c r="B23" s="11"/>
      <c r="C23" s="23"/>
      <c r="D23" s="23"/>
      <c r="E23" s="23"/>
      <c r="F23" s="23"/>
    </row>
    <row r="24" spans="2:6" ht="12.75">
      <c r="B24" s="11"/>
      <c r="C24" s="23"/>
      <c r="D24" s="23"/>
      <c r="E24" s="23"/>
      <c r="F24" s="23"/>
    </row>
    <row r="25" spans="2:6" ht="12.75">
      <c r="B25" s="11"/>
      <c r="C25" s="23"/>
      <c r="D25" s="23"/>
      <c r="E25" s="23"/>
      <c r="F25" s="23"/>
    </row>
    <row r="26" spans="2:6" ht="12.75">
      <c r="B26" s="3" t="s">
        <v>8</v>
      </c>
      <c r="C26" s="15">
        <f>SUM(C11:C20)</f>
        <v>3631.1964300000004</v>
      </c>
      <c r="D26" s="15">
        <f>SUM(D11:D20)</f>
        <v>104.90851</v>
      </c>
      <c r="E26" s="15">
        <f>SUM(E11:E20)</f>
        <v>1.6672500000000001</v>
      </c>
      <c r="F26" s="15">
        <f>SUM(C26:E26)</f>
        <v>3737.7721900000006</v>
      </c>
    </row>
    <row r="27" spans="2:6" ht="12.75">
      <c r="B27" s="2"/>
      <c r="C27" s="10"/>
      <c r="D27" s="10"/>
      <c r="E27" s="10"/>
      <c r="F27" s="10"/>
    </row>
    <row r="28" spans="2:6" ht="12.75">
      <c r="B28" s="4" t="s">
        <v>9</v>
      </c>
      <c r="C28" s="10"/>
      <c r="D28" s="10"/>
      <c r="E28" s="10"/>
      <c r="F28" s="10"/>
    </row>
    <row r="29" spans="2:6" ht="12.75">
      <c r="B29" s="3" t="s">
        <v>20</v>
      </c>
      <c r="C29" s="10"/>
      <c r="D29" s="10"/>
      <c r="E29" s="10"/>
      <c r="F29" s="10"/>
    </row>
    <row r="30" spans="2:6" ht="12.75">
      <c r="B30" s="3"/>
      <c r="C30" s="10"/>
      <c r="D30" s="10"/>
      <c r="E30" s="10"/>
      <c r="F30" s="10"/>
    </row>
    <row r="31" spans="2:6" ht="12.75">
      <c r="B31" s="3" t="s">
        <v>21</v>
      </c>
      <c r="C31" s="10"/>
      <c r="D31" s="10"/>
      <c r="E31" s="10"/>
      <c r="F31" s="10"/>
    </row>
    <row r="32" spans="2:6" ht="12.75">
      <c r="B32" s="2" t="s">
        <v>16</v>
      </c>
      <c r="C32" s="23"/>
      <c r="D32" s="23"/>
      <c r="E32" s="23"/>
      <c r="F32" s="23">
        <f>SUM(C32:E32)</f>
        <v>0</v>
      </c>
    </row>
    <row r="33" spans="2:6" ht="12.75">
      <c r="B33" s="2" t="s">
        <v>61</v>
      </c>
      <c r="C33" s="10">
        <f>1.64002+1023.6/1000+2559.09/1000+1023.53/1000</f>
        <v>6.24624</v>
      </c>
      <c r="D33" s="23"/>
      <c r="E33" s="23"/>
      <c r="F33" s="23">
        <f>SUM(C33:E33)</f>
        <v>6.24624</v>
      </c>
    </row>
    <row r="34" spans="2:6" ht="12.75">
      <c r="B34" s="3" t="s">
        <v>10</v>
      </c>
      <c r="C34" s="15">
        <f>SUM(C32:C33)</f>
        <v>6.24624</v>
      </c>
      <c r="D34" s="15">
        <f>SUM(D32:D33)</f>
        <v>0</v>
      </c>
      <c r="E34" s="15">
        <f>SUM(E32:E33)</f>
        <v>0</v>
      </c>
      <c r="F34" s="15">
        <f>SUM(C34:E34)</f>
        <v>6.24624</v>
      </c>
    </row>
    <row r="35" spans="2:6" ht="12.75">
      <c r="B35" s="2"/>
      <c r="C35" s="23"/>
      <c r="D35" s="23"/>
      <c r="E35" s="23"/>
      <c r="F35" s="23"/>
    </row>
    <row r="36" spans="2:6" ht="12.75">
      <c r="B36" s="3" t="s">
        <v>22</v>
      </c>
      <c r="C36" s="23"/>
      <c r="D36" s="23"/>
      <c r="E36" s="23"/>
      <c r="F36" s="23"/>
    </row>
    <row r="37" spans="2:6" ht="12.75">
      <c r="B37" s="22"/>
      <c r="C37" s="23"/>
      <c r="D37" s="23"/>
      <c r="E37" s="23"/>
      <c r="F37" s="23">
        <f aca="true" t="shared" si="1" ref="F37:F42">SUM(C37:E37)</f>
        <v>0</v>
      </c>
    </row>
    <row r="38" spans="2:6" ht="12.75">
      <c r="B38" s="29" t="s">
        <v>98</v>
      </c>
      <c r="C38" s="10">
        <f>338423.51/1000</f>
        <v>338.42351</v>
      </c>
      <c r="D38" s="10">
        <v>0.834</v>
      </c>
      <c r="E38" s="10">
        <v>0.003</v>
      </c>
      <c r="F38" s="23">
        <f t="shared" si="1"/>
        <v>339.26051</v>
      </c>
    </row>
    <row r="39" spans="2:6" ht="12.75">
      <c r="B39" s="22" t="s">
        <v>140</v>
      </c>
      <c r="C39" s="23">
        <f>19497.48/1000</f>
        <v>19.49748</v>
      </c>
      <c r="D39" s="23"/>
      <c r="E39" s="23"/>
      <c r="F39" s="23">
        <f t="shared" si="1"/>
        <v>19.49748</v>
      </c>
    </row>
    <row r="40" spans="2:6" ht="12.75">
      <c r="B40" s="22"/>
      <c r="C40" s="24"/>
      <c r="D40" s="23"/>
      <c r="E40" s="23"/>
      <c r="F40" s="23">
        <f t="shared" si="1"/>
        <v>0</v>
      </c>
    </row>
    <row r="41" spans="2:6" ht="12.75">
      <c r="B41" s="22"/>
      <c r="C41" s="23"/>
      <c r="D41" s="23"/>
      <c r="E41" s="23"/>
      <c r="F41" s="23">
        <f t="shared" si="1"/>
        <v>0</v>
      </c>
    </row>
    <row r="42" spans="2:6" ht="12.75">
      <c r="B42" s="22"/>
      <c r="C42" s="23"/>
      <c r="D42" s="23"/>
      <c r="E42" s="23"/>
      <c r="F42" s="23">
        <f t="shared" si="1"/>
        <v>0</v>
      </c>
    </row>
    <row r="43" spans="2:6" ht="12.75">
      <c r="B43" s="3" t="s">
        <v>27</v>
      </c>
      <c r="C43" s="15">
        <f>SUM(C37:C42)</f>
        <v>357.92099</v>
      </c>
      <c r="D43" s="15">
        <f>SUM(D37:D42)</f>
        <v>0.834</v>
      </c>
      <c r="E43" s="15">
        <f>SUM(E37:E42)</f>
        <v>0.003</v>
      </c>
      <c r="F43" s="15">
        <f>SUM(F37:F42)</f>
        <v>358.75799</v>
      </c>
    </row>
    <row r="44" spans="2:6" ht="12.75">
      <c r="B44" s="2"/>
      <c r="C44" s="23"/>
      <c r="D44" s="23"/>
      <c r="E44" s="23"/>
      <c r="F44" s="23"/>
    </row>
    <row r="45" spans="2:6" ht="12.75">
      <c r="B45" s="3" t="s">
        <v>23</v>
      </c>
      <c r="C45" s="23"/>
      <c r="D45" s="23"/>
      <c r="E45" s="23"/>
      <c r="F45" s="23"/>
    </row>
    <row r="46" spans="2:6" ht="12.75">
      <c r="B46" s="3"/>
      <c r="C46" s="23"/>
      <c r="D46" s="23"/>
      <c r="E46" s="23"/>
      <c r="F46" s="23"/>
    </row>
    <row r="47" spans="2:6" ht="12.75">
      <c r="B47" s="3" t="s">
        <v>11</v>
      </c>
      <c r="C47" s="23"/>
      <c r="D47" s="23"/>
      <c r="E47" s="23"/>
      <c r="F47" s="23"/>
    </row>
    <row r="48" spans="2:6" ht="12.75">
      <c r="B48" s="3"/>
      <c r="C48" s="23"/>
      <c r="D48" s="23"/>
      <c r="E48" s="23"/>
      <c r="F48" s="23"/>
    </row>
    <row r="49" spans="2:6" ht="12.75">
      <c r="B49" s="3" t="s">
        <v>12</v>
      </c>
      <c r="C49" s="23">
        <f>+C9+C26+C34+C43</f>
        <v>4479.4817</v>
      </c>
      <c r="D49" s="23">
        <f>+D9+D26+D34+D43</f>
        <v>114.68921</v>
      </c>
      <c r="E49" s="23">
        <f>+E9+E26+E34+E43</f>
        <v>2.1683000000000003</v>
      </c>
      <c r="F49" s="23">
        <f>SUM(C49:E49)</f>
        <v>4596.339210000001</v>
      </c>
    </row>
    <row r="50" spans="2:6" ht="12.75">
      <c r="B50" s="3"/>
      <c r="C50" s="23"/>
      <c r="D50" s="23"/>
      <c r="E50" s="23"/>
      <c r="F50" s="23"/>
    </row>
    <row r="51" spans="2:6" ht="12.75">
      <c r="B51" s="3" t="str">
        <f>'נספח 1'!B39</f>
        <v>סך הכל נכסים לסוף תקופה קודמת</v>
      </c>
      <c r="C51" s="23">
        <v>14696292</v>
      </c>
      <c r="D51" s="23">
        <v>405688</v>
      </c>
      <c r="E51" s="23">
        <v>15098</v>
      </c>
      <c r="F51" s="23">
        <f>SUM(C51:E51)</f>
        <v>15117078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1"/>
  <sheetViews>
    <sheetView rightToLeft="1" tabSelected="1" zoomScalePageLayoutView="0" workbookViewId="0" topLeftCell="A94">
      <selection activeCell="B104" sqref="B104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  <col min="9" max="9" width="6.57421875" style="0" bestFit="1" customWidth="1"/>
    <col min="10" max="10" width="37.421875" style="0" bestFit="1" customWidth="1"/>
    <col min="11" max="11" width="12.00390625" style="0" bestFit="1" customWidth="1"/>
  </cols>
  <sheetData>
    <row r="2" spans="2:3" ht="12.75">
      <c r="B2" s="5" t="s">
        <v>17</v>
      </c>
      <c r="C2" s="1"/>
    </row>
    <row r="3" spans="2:3" ht="12.75">
      <c r="B3" s="13" t="str">
        <f>'נספח 1'!B3</f>
        <v>01/09/2019-31/08/2020</v>
      </c>
      <c r="C3" s="1"/>
    </row>
    <row r="4" spans="3:6" ht="12.75">
      <c r="C4" s="16" t="s">
        <v>29</v>
      </c>
      <c r="D4" s="16" t="s">
        <v>30</v>
      </c>
      <c r="E4" s="16" t="s">
        <v>32</v>
      </c>
      <c r="F4" s="16" t="s">
        <v>31</v>
      </c>
    </row>
    <row r="5" spans="2:6" ht="21" customHeight="1">
      <c r="B5" s="7" t="str">
        <f>'נספח 1'!B5</f>
        <v>קרן השתלמות למורים וגננות - מאוחד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5">
      <c r="B6" s="7"/>
      <c r="C6" s="9"/>
      <c r="D6" s="9"/>
      <c r="E6" s="9"/>
      <c r="F6" s="9"/>
    </row>
    <row r="7" spans="2:8" ht="12.75">
      <c r="B7" s="3" t="s">
        <v>51</v>
      </c>
      <c r="C7" s="10"/>
      <c r="D7" s="10"/>
      <c r="E7" s="10"/>
      <c r="F7" s="10"/>
      <c r="H7">
        <v>1000</v>
      </c>
    </row>
    <row r="8" spans="2:6" ht="14.25">
      <c r="B8" s="32" t="s">
        <v>138</v>
      </c>
      <c r="C8" s="10">
        <v>2.8726666666666665</v>
      </c>
      <c r="D8" s="23"/>
      <c r="E8" s="23"/>
      <c r="F8" s="24">
        <f aca="true" t="shared" si="0" ref="F8:F40">+C8+D8+E8</f>
        <v>2.8726666666666665</v>
      </c>
    </row>
    <row r="9" spans="2:6" ht="14.25">
      <c r="B9" s="32" t="s">
        <v>123</v>
      </c>
      <c r="C9" s="10">
        <v>565.153</v>
      </c>
      <c r="D9" s="23"/>
      <c r="E9" s="23"/>
      <c r="F9" s="24">
        <f t="shared" si="0"/>
        <v>565.153</v>
      </c>
    </row>
    <row r="10" spans="2:6" ht="14.25">
      <c r="B10" s="32" t="s">
        <v>94</v>
      </c>
      <c r="C10" s="10">
        <v>136.6985</v>
      </c>
      <c r="D10" s="23"/>
      <c r="E10" s="23"/>
      <c r="F10" s="24">
        <f t="shared" si="0"/>
        <v>136.6985</v>
      </c>
    </row>
    <row r="11" spans="2:6" ht="14.25">
      <c r="B11" s="32" t="s">
        <v>73</v>
      </c>
      <c r="C11" s="10">
        <v>136.35133933333333</v>
      </c>
      <c r="D11" s="23"/>
      <c r="E11" s="23"/>
      <c r="F11" s="24">
        <f t="shared" si="0"/>
        <v>136.35133933333333</v>
      </c>
    </row>
    <row r="12" spans="2:6" ht="14.25">
      <c r="B12" s="32" t="s">
        <v>63</v>
      </c>
      <c r="C12" s="10">
        <v>120.62337600000001</v>
      </c>
      <c r="D12" s="23"/>
      <c r="E12" s="23"/>
      <c r="F12" s="24">
        <f t="shared" si="0"/>
        <v>120.62337600000001</v>
      </c>
    </row>
    <row r="13" spans="2:6" ht="14.25">
      <c r="B13" s="32" t="s">
        <v>85</v>
      </c>
      <c r="C13" s="10">
        <v>724.5917</v>
      </c>
      <c r="D13" s="23"/>
      <c r="E13" s="23"/>
      <c r="F13" s="24">
        <f t="shared" si="0"/>
        <v>724.5917</v>
      </c>
    </row>
    <row r="14" spans="2:6" ht="14.25">
      <c r="B14" s="32" t="s">
        <v>99</v>
      </c>
      <c r="C14" s="10">
        <v>635.3215093333333</v>
      </c>
      <c r="D14" s="23"/>
      <c r="E14" s="23"/>
      <c r="F14" s="24">
        <f t="shared" si="0"/>
        <v>635.3215093333333</v>
      </c>
    </row>
    <row r="15" spans="2:6" ht="14.25">
      <c r="B15" s="32" t="s">
        <v>65</v>
      </c>
      <c r="C15" s="10">
        <v>59.653973072762206</v>
      </c>
      <c r="D15" s="23"/>
      <c r="E15" s="23"/>
      <c r="F15" s="24">
        <f t="shared" si="0"/>
        <v>59.653973072762206</v>
      </c>
    </row>
    <row r="16" spans="2:6" ht="14.25">
      <c r="B16" s="32" t="s">
        <v>117</v>
      </c>
      <c r="C16" s="10">
        <v>849.1517965144501</v>
      </c>
      <c r="D16" s="23"/>
      <c r="E16" s="23"/>
      <c r="F16" s="24">
        <f t="shared" si="0"/>
        <v>849.1517965144501</v>
      </c>
    </row>
    <row r="17" spans="2:6" ht="14.25">
      <c r="B17" s="32" t="s">
        <v>79</v>
      </c>
      <c r="C17" s="10">
        <v>155.54566666666668</v>
      </c>
      <c r="D17" s="23"/>
      <c r="E17" s="23"/>
      <c r="F17" s="24">
        <f t="shared" si="0"/>
        <v>155.54566666666668</v>
      </c>
    </row>
    <row r="18" spans="2:6" ht="14.25">
      <c r="B18" s="32" t="s">
        <v>128</v>
      </c>
      <c r="C18" s="10">
        <v>54.26052875099999</v>
      </c>
      <c r="D18" s="23"/>
      <c r="E18" s="23"/>
      <c r="F18" s="24">
        <f t="shared" si="0"/>
        <v>54.26052875099999</v>
      </c>
    </row>
    <row r="19" spans="2:6" ht="14.25">
      <c r="B19" s="32" t="s">
        <v>84</v>
      </c>
      <c r="C19" s="10">
        <v>180.80303333333333</v>
      </c>
      <c r="D19" s="23"/>
      <c r="E19" s="23"/>
      <c r="F19" s="24">
        <f t="shared" si="0"/>
        <v>180.80303333333333</v>
      </c>
    </row>
    <row r="20" spans="2:6" ht="14.25">
      <c r="B20" s="32" t="s">
        <v>100</v>
      </c>
      <c r="C20" s="10">
        <v>-14.7416104</v>
      </c>
      <c r="D20" s="23"/>
      <c r="E20" s="23"/>
      <c r="F20" s="24">
        <f t="shared" si="0"/>
        <v>-14.7416104</v>
      </c>
    </row>
    <row r="21" spans="2:6" ht="14.25">
      <c r="B21" s="32" t="s">
        <v>112</v>
      </c>
      <c r="C21" s="10">
        <v>579.9823333333334</v>
      </c>
      <c r="D21" s="23"/>
      <c r="E21" s="23"/>
      <c r="F21" s="24">
        <f t="shared" si="0"/>
        <v>579.9823333333334</v>
      </c>
    </row>
    <row r="22" spans="2:6" ht="12.75">
      <c r="B22" s="30" t="s">
        <v>77</v>
      </c>
      <c r="C22" s="10">
        <v>459.51881899999995</v>
      </c>
      <c r="D22" s="23"/>
      <c r="E22" s="23"/>
      <c r="F22" s="24">
        <f t="shared" si="0"/>
        <v>459.51881899999995</v>
      </c>
    </row>
    <row r="23" spans="2:6" ht="12.75">
      <c r="B23" s="30" t="s">
        <v>139</v>
      </c>
      <c r="C23" s="10">
        <v>26.218819981814594</v>
      </c>
      <c r="D23" s="23"/>
      <c r="E23" s="23"/>
      <c r="F23" s="24">
        <f t="shared" si="0"/>
        <v>26.218819981814594</v>
      </c>
    </row>
    <row r="24" spans="2:6" ht="14.25">
      <c r="B24" s="32" t="s">
        <v>66</v>
      </c>
      <c r="C24" s="10">
        <v>197.510025</v>
      </c>
      <c r="D24" s="23"/>
      <c r="E24" s="23"/>
      <c r="F24" s="24">
        <f t="shared" si="0"/>
        <v>197.510025</v>
      </c>
    </row>
    <row r="25" spans="2:6" ht="14.25">
      <c r="B25" s="32" t="s">
        <v>88</v>
      </c>
      <c r="C25" s="10">
        <v>217.55413763701154</v>
      </c>
      <c r="D25" s="23"/>
      <c r="E25" s="23"/>
      <c r="F25" s="24">
        <f t="shared" si="0"/>
        <v>217.55413763701154</v>
      </c>
    </row>
    <row r="26" spans="2:6" ht="14.25">
      <c r="B26" s="32" t="s">
        <v>111</v>
      </c>
      <c r="C26" s="10">
        <v>433.7699344270833</v>
      </c>
      <c r="D26" s="23"/>
      <c r="E26" s="23"/>
      <c r="F26" s="24">
        <f t="shared" si="0"/>
        <v>433.7699344270833</v>
      </c>
    </row>
    <row r="27" spans="2:6" ht="14.25">
      <c r="B27" s="32" t="s">
        <v>89</v>
      </c>
      <c r="C27" s="10">
        <v>312.45122183333336</v>
      </c>
      <c r="D27" s="23"/>
      <c r="E27" s="23"/>
      <c r="F27" s="24">
        <f t="shared" si="0"/>
        <v>312.45122183333336</v>
      </c>
    </row>
    <row r="28" spans="2:6" ht="14.25">
      <c r="B28" s="32" t="s">
        <v>72</v>
      </c>
      <c r="C28" s="10">
        <v>501.94359729999996</v>
      </c>
      <c r="D28" s="23"/>
      <c r="E28" s="23"/>
      <c r="F28" s="24">
        <f t="shared" si="0"/>
        <v>501.94359729999996</v>
      </c>
    </row>
    <row r="29" spans="2:6" ht="14.25">
      <c r="B29" s="32" t="s">
        <v>124</v>
      </c>
      <c r="C29" s="10">
        <v>1014.1189916666666</v>
      </c>
      <c r="D29" s="23"/>
      <c r="E29" s="23"/>
      <c r="F29" s="24">
        <f t="shared" si="0"/>
        <v>1014.1189916666666</v>
      </c>
    </row>
    <row r="30" spans="2:6" ht="14.25">
      <c r="B30" s="32" t="s">
        <v>101</v>
      </c>
      <c r="C30" s="10">
        <v>374.264</v>
      </c>
      <c r="D30" s="23"/>
      <c r="E30" s="23"/>
      <c r="F30" s="24">
        <f t="shared" si="0"/>
        <v>374.264</v>
      </c>
    </row>
    <row r="31" spans="2:6" ht="14.25">
      <c r="B31" s="32" t="s">
        <v>116</v>
      </c>
      <c r="C31" s="10">
        <v>932.6069999999999</v>
      </c>
      <c r="D31" s="23"/>
      <c r="E31" s="23"/>
      <c r="F31" s="24">
        <f t="shared" si="0"/>
        <v>932.6069999999999</v>
      </c>
    </row>
    <row r="32" spans="2:6" ht="14.25">
      <c r="B32" s="32" t="s">
        <v>67</v>
      </c>
      <c r="C32" s="10">
        <v>361.18689800000004</v>
      </c>
      <c r="D32" s="23"/>
      <c r="E32" s="23"/>
      <c r="F32" s="24">
        <f t="shared" si="0"/>
        <v>361.18689800000004</v>
      </c>
    </row>
    <row r="33" spans="2:6" ht="14.25">
      <c r="B33" s="32" t="s">
        <v>83</v>
      </c>
      <c r="C33" s="10">
        <v>290.9107485324435</v>
      </c>
      <c r="D33" s="23"/>
      <c r="E33" s="23"/>
      <c r="F33" s="24">
        <f t="shared" si="0"/>
        <v>290.9107485324435</v>
      </c>
    </row>
    <row r="34" spans="2:6" ht="14.25">
      <c r="B34" s="32" t="s">
        <v>82</v>
      </c>
      <c r="C34" s="10">
        <v>127.300855775</v>
      </c>
      <c r="D34" s="23"/>
      <c r="E34" s="23"/>
      <c r="F34" s="24">
        <f t="shared" si="0"/>
        <v>127.300855775</v>
      </c>
    </row>
    <row r="35" spans="2:6" ht="14.25">
      <c r="B35" s="32" t="s">
        <v>125</v>
      </c>
      <c r="C35" s="10">
        <v>288.2823333333333</v>
      </c>
      <c r="D35" s="23"/>
      <c r="E35" s="23"/>
      <c r="F35" s="24">
        <f t="shared" si="0"/>
        <v>288.2823333333333</v>
      </c>
    </row>
    <row r="36" spans="2:6" ht="14.25">
      <c r="B36" s="32" t="s">
        <v>81</v>
      </c>
      <c r="C36" s="10">
        <v>61.034333333333336</v>
      </c>
      <c r="D36" s="23"/>
      <c r="E36" s="23"/>
      <c r="F36" s="24">
        <f t="shared" si="0"/>
        <v>61.034333333333336</v>
      </c>
    </row>
    <row r="37" spans="2:6" ht="14.25">
      <c r="B37" s="31" t="s">
        <v>64</v>
      </c>
      <c r="C37" s="10">
        <v>300.377</v>
      </c>
      <c r="D37" s="23"/>
      <c r="E37" s="23"/>
      <c r="F37" s="24">
        <f t="shared" si="0"/>
        <v>300.377</v>
      </c>
    </row>
    <row r="38" spans="2:6" ht="14.25">
      <c r="B38" s="31" t="s">
        <v>87</v>
      </c>
      <c r="C38" s="10">
        <v>455.51383333333337</v>
      </c>
      <c r="D38" s="23"/>
      <c r="E38" s="23"/>
      <c r="F38" s="24">
        <f t="shared" si="0"/>
        <v>455.51383333333337</v>
      </c>
    </row>
    <row r="39" spans="2:6" ht="14.25">
      <c r="B39" s="31" t="s">
        <v>80</v>
      </c>
      <c r="C39" s="23">
        <v>429.877</v>
      </c>
      <c r="D39" s="23"/>
      <c r="E39" s="23"/>
      <c r="F39" s="24">
        <f t="shared" si="0"/>
        <v>429.877</v>
      </c>
    </row>
    <row r="40" spans="2:6" ht="14.25">
      <c r="B40" s="31" t="s">
        <v>78</v>
      </c>
      <c r="C40" s="23">
        <v>79.384</v>
      </c>
      <c r="D40" s="23"/>
      <c r="E40" s="23"/>
      <c r="F40" s="24">
        <f t="shared" si="0"/>
        <v>79.384</v>
      </c>
    </row>
    <row r="41" spans="2:6" ht="14.25">
      <c r="B41" s="31"/>
      <c r="C41" s="23"/>
      <c r="D41" s="23"/>
      <c r="E41" s="23"/>
      <c r="F41" s="24"/>
    </row>
    <row r="42" spans="2:6" ht="14.25">
      <c r="B42" s="31"/>
      <c r="C42" s="23"/>
      <c r="D42" s="23"/>
      <c r="E42" s="23"/>
      <c r="F42" s="24"/>
    </row>
    <row r="43" spans="2:6" ht="12.75">
      <c r="B43" s="28" t="s">
        <v>41</v>
      </c>
      <c r="C43" s="15">
        <f>SUM(C8:C42)</f>
        <v>11050.09136175823</v>
      </c>
      <c r="D43" s="15">
        <f>SUM(D8:D26)</f>
        <v>0</v>
      </c>
      <c r="E43" s="15">
        <f>SUM(E8:E26)</f>
        <v>0</v>
      </c>
      <c r="F43" s="15">
        <f>SUM(F8:F42)</f>
        <v>11050.09136175823</v>
      </c>
    </row>
    <row r="44" spans="2:6" ht="12.75">
      <c r="B44" s="28"/>
      <c r="C44" s="23"/>
      <c r="D44" s="23"/>
      <c r="E44" s="23"/>
      <c r="F44" s="24"/>
    </row>
    <row r="45" spans="2:6" ht="12.75">
      <c r="B45" s="28" t="s">
        <v>52</v>
      </c>
      <c r="C45" s="23"/>
      <c r="D45" s="23"/>
      <c r="E45" s="23"/>
      <c r="F45" s="24"/>
    </row>
    <row r="46" spans="2:6" ht="14.25">
      <c r="B46" s="27" t="s">
        <v>118</v>
      </c>
      <c r="C46" s="10">
        <v>417.0489260300767</v>
      </c>
      <c r="D46" s="23"/>
      <c r="E46" s="23"/>
      <c r="F46" s="24">
        <f aca="true" t="shared" si="1" ref="F46:F77">+C46+D46+E46</f>
        <v>417.0489260300767</v>
      </c>
    </row>
    <row r="47" spans="2:6" ht="14.25">
      <c r="B47" s="27" t="s">
        <v>134</v>
      </c>
      <c r="C47" s="10">
        <v>233.47246990722076</v>
      </c>
      <c r="D47" s="23"/>
      <c r="E47" s="23"/>
      <c r="F47" s="24">
        <f t="shared" si="1"/>
        <v>233.47246990722076</v>
      </c>
    </row>
    <row r="48" spans="2:6" ht="14.25">
      <c r="B48" s="27" t="s">
        <v>103</v>
      </c>
      <c r="C48" s="10">
        <v>167.60199811633333</v>
      </c>
      <c r="D48" s="23"/>
      <c r="E48" s="23"/>
      <c r="F48" s="24">
        <f t="shared" si="1"/>
        <v>167.60199811633333</v>
      </c>
    </row>
    <row r="49" spans="2:6" ht="14.25">
      <c r="B49" s="27" t="s">
        <v>93</v>
      </c>
      <c r="C49" s="10">
        <v>662.6916146666666</v>
      </c>
      <c r="D49" s="23"/>
      <c r="E49" s="23"/>
      <c r="F49" s="24">
        <f t="shared" si="1"/>
        <v>662.6916146666666</v>
      </c>
    </row>
    <row r="50" spans="2:6" ht="14.25">
      <c r="B50" s="27" t="s">
        <v>95</v>
      </c>
      <c r="C50" s="10">
        <v>309.50691086560005</v>
      </c>
      <c r="D50" s="23"/>
      <c r="E50" s="23"/>
      <c r="F50" s="24">
        <f t="shared" si="1"/>
        <v>309.50691086560005</v>
      </c>
    </row>
    <row r="51" spans="2:6" ht="14.25">
      <c r="B51" s="27" t="s">
        <v>113</v>
      </c>
      <c r="C51" s="10">
        <v>617.2073333333334</v>
      </c>
      <c r="D51" s="23"/>
      <c r="E51" s="23"/>
      <c r="F51" s="24">
        <f t="shared" si="1"/>
        <v>617.2073333333334</v>
      </c>
    </row>
    <row r="52" spans="2:6" ht="14.25">
      <c r="B52" s="27" t="s">
        <v>119</v>
      </c>
      <c r="C52" s="10">
        <v>126.05150919791667</v>
      </c>
      <c r="D52" s="23"/>
      <c r="E52" s="23"/>
      <c r="F52" s="24">
        <f t="shared" si="1"/>
        <v>126.05150919791667</v>
      </c>
    </row>
    <row r="53" spans="2:6" ht="14.25">
      <c r="B53" s="27" t="s">
        <v>126</v>
      </c>
      <c r="C53" s="10">
        <v>104.06801133333333</v>
      </c>
      <c r="D53" s="23"/>
      <c r="E53" s="23"/>
      <c r="F53" s="24">
        <f t="shared" si="1"/>
        <v>104.06801133333333</v>
      </c>
    </row>
    <row r="54" spans="2:6" ht="14.25">
      <c r="B54" s="27" t="s">
        <v>86</v>
      </c>
      <c r="C54" s="10">
        <v>421.96565033333343</v>
      </c>
      <c r="D54" s="23"/>
      <c r="E54" s="23"/>
      <c r="F54" s="24">
        <f t="shared" si="1"/>
        <v>421.96565033333343</v>
      </c>
    </row>
    <row r="55" spans="2:6" ht="14.25">
      <c r="B55" s="27" t="s">
        <v>102</v>
      </c>
      <c r="C55" s="10">
        <v>403.1733483066667</v>
      </c>
      <c r="D55" s="23"/>
      <c r="E55" s="23"/>
      <c r="F55" s="24">
        <f t="shared" si="1"/>
        <v>403.1733483066667</v>
      </c>
    </row>
    <row r="56" spans="2:6" ht="14.25">
      <c r="B56" s="27" t="s">
        <v>135</v>
      </c>
      <c r="C56" s="10">
        <v>4.271364738666666</v>
      </c>
      <c r="D56" s="23"/>
      <c r="E56" s="23"/>
      <c r="F56" s="24">
        <f t="shared" si="1"/>
        <v>4.271364738666666</v>
      </c>
    </row>
    <row r="57" spans="2:6" ht="14.25">
      <c r="B57" s="27" t="s">
        <v>136</v>
      </c>
      <c r="C57" s="10">
        <v>168.70110324000004</v>
      </c>
      <c r="D57" s="23"/>
      <c r="E57" s="23"/>
      <c r="F57" s="24">
        <f t="shared" si="1"/>
        <v>168.70110324000004</v>
      </c>
    </row>
    <row r="58" spans="2:6" ht="14.25">
      <c r="B58" s="27" t="s">
        <v>120</v>
      </c>
      <c r="C58" s="10">
        <v>1818.42409528</v>
      </c>
      <c r="D58" s="23"/>
      <c r="E58" s="23"/>
      <c r="F58" s="24">
        <f t="shared" si="1"/>
        <v>1818.42409528</v>
      </c>
    </row>
    <row r="59" spans="2:6" ht="14.25">
      <c r="B59" s="27" t="s">
        <v>104</v>
      </c>
      <c r="C59" s="10">
        <v>418.5417975423749</v>
      </c>
      <c r="D59" s="23"/>
      <c r="E59" s="23"/>
      <c r="F59" s="24">
        <f t="shared" si="1"/>
        <v>418.5417975423749</v>
      </c>
    </row>
    <row r="60" spans="2:6" ht="14.25">
      <c r="B60" s="27" t="s">
        <v>129</v>
      </c>
      <c r="C60" s="10">
        <v>263.97313053666664</v>
      </c>
      <c r="D60" s="23"/>
      <c r="E60" s="23"/>
      <c r="F60" s="24">
        <f t="shared" si="1"/>
        <v>263.97313053666664</v>
      </c>
    </row>
    <row r="61" spans="2:6" ht="14.25">
      <c r="B61" s="27" t="s">
        <v>109</v>
      </c>
      <c r="C61" s="10">
        <v>79.6872297729625</v>
      </c>
      <c r="D61" s="23"/>
      <c r="E61" s="23"/>
      <c r="F61" s="24">
        <f t="shared" si="1"/>
        <v>79.6872297729625</v>
      </c>
    </row>
    <row r="62" spans="2:6" ht="14.25">
      <c r="B62" s="27" t="s">
        <v>121</v>
      </c>
      <c r="C62" s="10">
        <v>446.8064548341667</v>
      </c>
      <c r="D62" s="23"/>
      <c r="E62" s="23"/>
      <c r="F62" s="24">
        <f t="shared" si="1"/>
        <v>446.8064548341667</v>
      </c>
    </row>
    <row r="63" spans="2:6" ht="14.25">
      <c r="B63" s="27" t="s">
        <v>105</v>
      </c>
      <c r="C63" s="10">
        <v>190.36017700000002</v>
      </c>
      <c r="D63" s="23"/>
      <c r="E63" s="23"/>
      <c r="F63" s="24">
        <f t="shared" si="1"/>
        <v>190.36017700000002</v>
      </c>
    </row>
    <row r="64" spans="2:6" ht="14.25">
      <c r="B64" s="27" t="s">
        <v>114</v>
      </c>
      <c r="C64" s="10">
        <v>1154.8083054133333</v>
      </c>
      <c r="D64" s="23"/>
      <c r="E64" s="23"/>
      <c r="F64" s="24">
        <f t="shared" si="1"/>
        <v>1154.8083054133333</v>
      </c>
    </row>
    <row r="65" spans="2:6" ht="14.25">
      <c r="B65" s="27" t="s">
        <v>110</v>
      </c>
      <c r="C65" s="10">
        <v>32.412771000000006</v>
      </c>
      <c r="D65" s="23"/>
      <c r="E65" s="23"/>
      <c r="F65" s="24">
        <f t="shared" si="1"/>
        <v>32.412771000000006</v>
      </c>
    </row>
    <row r="66" spans="2:6" ht="14.25">
      <c r="B66" s="27" t="s">
        <v>106</v>
      </c>
      <c r="C66" s="10">
        <v>328.71706973042495</v>
      </c>
      <c r="D66" s="23"/>
      <c r="E66" s="23"/>
      <c r="F66" s="24">
        <f t="shared" si="1"/>
        <v>328.71706973042495</v>
      </c>
    </row>
    <row r="67" spans="2:6" ht="14.25">
      <c r="B67" s="27" t="s">
        <v>91</v>
      </c>
      <c r="C67" s="10">
        <v>300.859217635212</v>
      </c>
      <c r="D67" s="23"/>
      <c r="E67" s="23"/>
      <c r="F67" s="24">
        <f t="shared" si="1"/>
        <v>300.859217635212</v>
      </c>
    </row>
    <row r="68" spans="2:6" ht="14.25">
      <c r="B68" s="27" t="s">
        <v>92</v>
      </c>
      <c r="C68" s="10">
        <v>208.62758</v>
      </c>
      <c r="D68" s="23"/>
      <c r="E68" s="23"/>
      <c r="F68" s="24">
        <f t="shared" si="1"/>
        <v>208.62758</v>
      </c>
    </row>
    <row r="69" spans="2:6" ht="14.25">
      <c r="B69" s="27" t="s">
        <v>75</v>
      </c>
      <c r="C69" s="10">
        <v>359.0737315</v>
      </c>
      <c r="D69" s="23"/>
      <c r="E69" s="23"/>
      <c r="F69" s="24">
        <f t="shared" si="1"/>
        <v>359.0737315</v>
      </c>
    </row>
    <row r="70" spans="2:6" ht="14.25">
      <c r="B70" s="27" t="s">
        <v>90</v>
      </c>
      <c r="C70" s="10">
        <v>360.6479923492423</v>
      </c>
      <c r="D70" s="23"/>
      <c r="E70" s="23"/>
      <c r="F70" s="24">
        <f t="shared" si="1"/>
        <v>360.6479923492423</v>
      </c>
    </row>
    <row r="71" spans="2:6" ht="14.25">
      <c r="B71" s="27" t="s">
        <v>137</v>
      </c>
      <c r="C71" s="10">
        <v>56.696828000000004</v>
      </c>
      <c r="D71" s="23"/>
      <c r="E71" s="23"/>
      <c r="F71" s="24">
        <f t="shared" si="1"/>
        <v>56.696828000000004</v>
      </c>
    </row>
    <row r="72" spans="2:6" ht="14.25">
      <c r="B72" s="27" t="s">
        <v>62</v>
      </c>
      <c r="C72" s="10">
        <v>22.462683156666667</v>
      </c>
      <c r="D72" s="23"/>
      <c r="E72" s="23"/>
      <c r="F72" s="24">
        <f t="shared" si="1"/>
        <v>22.462683156666667</v>
      </c>
    </row>
    <row r="73" spans="2:6" ht="14.25">
      <c r="B73" s="27" t="s">
        <v>107</v>
      </c>
      <c r="C73" s="10">
        <v>376.3510733333334</v>
      </c>
      <c r="D73" s="23"/>
      <c r="E73" s="23"/>
      <c r="F73" s="24">
        <f t="shared" si="1"/>
        <v>376.3510733333334</v>
      </c>
    </row>
    <row r="74" spans="2:6" ht="14.25">
      <c r="B74" s="27" t="s">
        <v>130</v>
      </c>
      <c r="C74" s="10">
        <v>373.98270866666667</v>
      </c>
      <c r="D74" s="23"/>
      <c r="E74" s="23"/>
      <c r="F74" s="24">
        <f t="shared" si="1"/>
        <v>373.98270866666667</v>
      </c>
    </row>
    <row r="75" spans="2:6" ht="14.25">
      <c r="B75" s="27" t="s">
        <v>122</v>
      </c>
      <c r="C75" s="10">
        <v>312.0860344666667</v>
      </c>
      <c r="D75" s="23"/>
      <c r="E75" s="23"/>
      <c r="F75" s="24">
        <f t="shared" si="1"/>
        <v>312.0860344666667</v>
      </c>
    </row>
    <row r="76" spans="2:6" ht="14.25">
      <c r="B76" s="27" t="s">
        <v>74</v>
      </c>
      <c r="C76" s="10">
        <v>383.337827</v>
      </c>
      <c r="D76" s="23"/>
      <c r="E76" s="23"/>
      <c r="F76" s="24">
        <f t="shared" si="1"/>
        <v>383.337827</v>
      </c>
    </row>
    <row r="77" spans="2:6" ht="14.25">
      <c r="B77" s="27"/>
      <c r="C77" s="23"/>
      <c r="D77" s="23"/>
      <c r="E77" s="23"/>
      <c r="F77" s="24">
        <f t="shared" si="1"/>
        <v>0</v>
      </c>
    </row>
    <row r="78" spans="2:6" ht="14.25">
      <c r="B78" s="27"/>
      <c r="C78" s="23"/>
      <c r="D78" s="23"/>
      <c r="E78" s="23"/>
      <c r="F78" s="24">
        <f>+C78+D78+E78</f>
        <v>0</v>
      </c>
    </row>
    <row r="79" spans="2:6" ht="12.75">
      <c r="B79" s="3" t="s">
        <v>42</v>
      </c>
      <c r="C79" s="15">
        <f>SUM(C46:C78)</f>
        <v>11123.616947286868</v>
      </c>
      <c r="D79" s="15">
        <f>SUM(D46:D63)</f>
        <v>0</v>
      </c>
      <c r="E79" s="15">
        <f>SUM(E46:E63)</f>
        <v>0</v>
      </c>
      <c r="F79" s="15">
        <f>SUM(F46:F78)</f>
        <v>11123.616947286868</v>
      </c>
    </row>
    <row r="80" spans="2:6" ht="12.75">
      <c r="B80" s="12"/>
      <c r="C80" s="23"/>
      <c r="D80" s="23"/>
      <c r="E80" s="23"/>
      <c r="F80" s="24"/>
    </row>
    <row r="81" spans="2:6" ht="12.75">
      <c r="B81" s="6" t="s">
        <v>28</v>
      </c>
      <c r="C81" s="15">
        <f>+C43+C79</f>
        <v>22173.708309045098</v>
      </c>
      <c r="D81" s="15">
        <f>+D43+D79</f>
        <v>0</v>
      </c>
      <c r="E81" s="15">
        <f>+E43+E79</f>
        <v>0</v>
      </c>
      <c r="F81" s="15">
        <f>SUM(C81:E81)</f>
        <v>22173.708309045098</v>
      </c>
    </row>
    <row r="82" spans="2:6" ht="12.75">
      <c r="B82" s="2"/>
      <c r="C82" s="23"/>
      <c r="D82" s="23"/>
      <c r="E82" s="23"/>
      <c r="F82" s="23"/>
    </row>
    <row r="83" spans="2:6" ht="12.75">
      <c r="B83" s="3" t="s">
        <v>24</v>
      </c>
      <c r="C83" s="23"/>
      <c r="D83" s="23"/>
      <c r="E83" s="23"/>
      <c r="F83" s="23"/>
    </row>
    <row r="84" spans="2:6" ht="12.75">
      <c r="B84" s="6" t="s">
        <v>4</v>
      </c>
      <c r="C84" s="23"/>
      <c r="D84" s="23"/>
      <c r="E84" s="23"/>
      <c r="F84" s="23"/>
    </row>
    <row r="85" spans="2:6" ht="12.75">
      <c r="B85" s="2"/>
      <c r="C85" s="23"/>
      <c r="D85" s="23"/>
      <c r="E85" s="23"/>
      <c r="F85" s="23"/>
    </row>
    <row r="86" spans="2:6" ht="12.75">
      <c r="B86" s="3" t="s">
        <v>53</v>
      </c>
      <c r="C86" s="23"/>
      <c r="D86" s="23"/>
      <c r="E86" s="23"/>
      <c r="F86" s="23"/>
    </row>
    <row r="87" spans="2:6" ht="12.75">
      <c r="B87" s="6" t="s">
        <v>13</v>
      </c>
      <c r="C87" s="23"/>
      <c r="D87" s="23"/>
      <c r="E87" s="23"/>
      <c r="F87" s="23"/>
    </row>
    <row r="88" spans="2:6" ht="12.75">
      <c r="B88" s="2"/>
      <c r="C88" s="23"/>
      <c r="D88" s="23"/>
      <c r="E88" s="23"/>
      <c r="F88" s="23"/>
    </row>
    <row r="89" spans="2:6" ht="12.75">
      <c r="B89" s="3" t="s">
        <v>14</v>
      </c>
      <c r="C89" s="23"/>
      <c r="D89" s="23"/>
      <c r="E89" s="23"/>
      <c r="F89" s="23"/>
    </row>
    <row r="90" spans="2:6" ht="12.75">
      <c r="B90" s="3" t="s">
        <v>25</v>
      </c>
      <c r="C90" s="10">
        <f>339295.683225342/1000</f>
        <v>339.29568322534203</v>
      </c>
      <c r="D90" s="10">
        <v>0</v>
      </c>
      <c r="E90" s="10">
        <v>0</v>
      </c>
      <c r="F90" s="23">
        <f>SUM(C90:E90)</f>
        <v>339.29568322534203</v>
      </c>
    </row>
    <row r="91" spans="2:6" ht="12.75">
      <c r="B91" s="6" t="s">
        <v>26</v>
      </c>
      <c r="C91" s="10">
        <f>3097692.913629/1000</f>
        <v>3097.692913629</v>
      </c>
      <c r="D91" s="10">
        <f>50624.1731540712/1000</f>
        <v>50.6241731540712</v>
      </c>
      <c r="E91" s="10">
        <f>2370.42231726027/1000</f>
        <v>2.37042231726027</v>
      </c>
      <c r="F91" s="24">
        <f>+C91+D91+E91</f>
        <v>3150.6875091003317</v>
      </c>
    </row>
    <row r="92" spans="2:6" ht="12.75">
      <c r="B92" s="3" t="s">
        <v>54</v>
      </c>
      <c r="C92" s="23"/>
      <c r="D92" s="23"/>
      <c r="E92" s="23"/>
      <c r="F92" s="23"/>
    </row>
    <row r="93" spans="2:6" ht="12.75">
      <c r="B93" s="6"/>
      <c r="C93" s="23"/>
      <c r="D93" s="23"/>
      <c r="E93" s="23"/>
      <c r="F93" s="23"/>
    </row>
    <row r="94" spans="2:6" ht="12.75">
      <c r="B94" s="6" t="s">
        <v>132</v>
      </c>
      <c r="C94" s="23"/>
      <c r="D94" s="23"/>
      <c r="E94" s="23"/>
      <c r="F94" s="23"/>
    </row>
    <row r="95" spans="2:8" ht="12.75">
      <c r="B95" s="6" t="s">
        <v>55</v>
      </c>
      <c r="C95" s="23">
        <v>-1248.2292599498778</v>
      </c>
      <c r="D95" s="23">
        <v>2.8425396227026685</v>
      </c>
      <c r="E95" s="23">
        <v>0.009499578287671227</v>
      </c>
      <c r="F95" s="24">
        <f>+C95+D95+E95</f>
        <v>-1245.3772207488876</v>
      </c>
      <c r="H95" s="25"/>
    </row>
    <row r="96" spans="2:6" ht="12.75">
      <c r="B96" s="6" t="s">
        <v>56</v>
      </c>
      <c r="C96" s="23">
        <v>2468.401426458719</v>
      </c>
      <c r="D96" s="23">
        <v>136.5144497403945</v>
      </c>
      <c r="E96" s="23">
        <v>-0.09711</v>
      </c>
      <c r="F96" s="24">
        <f>+C96+D96+E96</f>
        <v>2604.8187661991133</v>
      </c>
    </row>
    <row r="97" spans="2:6" ht="12.75">
      <c r="B97" s="6" t="s">
        <v>57</v>
      </c>
      <c r="C97" s="15">
        <f>SUM(C95:C96)</f>
        <v>1220.1721665088412</v>
      </c>
      <c r="D97" s="15">
        <f>SUM(D95:D96)</f>
        <v>139.35698936309717</v>
      </c>
      <c r="E97" s="15">
        <f>SUM(E95:E96)</f>
        <v>-0.08761042171232877</v>
      </c>
      <c r="F97" s="15">
        <f>SUM(C97:E97)</f>
        <v>1359.4415454502262</v>
      </c>
    </row>
    <row r="98" spans="2:6" ht="12.75">
      <c r="B98" s="3"/>
      <c r="C98" s="15"/>
      <c r="D98" s="15"/>
      <c r="E98" s="15"/>
      <c r="F98" s="15"/>
    </row>
    <row r="99" spans="2:6" ht="12.75">
      <c r="B99" s="3" t="s">
        <v>15</v>
      </c>
      <c r="C99" s="15">
        <f>+C97+C81+C91+C90</f>
        <v>26830.869072408277</v>
      </c>
      <c r="D99" s="15">
        <f>+D97+D81+D91+D90</f>
        <v>189.98116251716837</v>
      </c>
      <c r="E99" s="15">
        <f>+E97+E81+E91+E90</f>
        <v>2.2828118955479413</v>
      </c>
      <c r="F99" s="15">
        <f>SUM(C99:E99)</f>
        <v>27023.133046820993</v>
      </c>
    </row>
    <row r="100" spans="2:6" ht="12.75">
      <c r="B100" s="3"/>
      <c r="C100" s="15"/>
      <c r="D100" s="15"/>
      <c r="E100" s="15"/>
      <c r="F100" s="15"/>
    </row>
    <row r="101" spans="2:6" ht="12.75">
      <c r="B101" s="3" t="str">
        <f>'נספח 1'!B39</f>
        <v>סך הכל נכסים לסוף תקופה קודמת</v>
      </c>
      <c r="C101" s="15">
        <f>'נספח 1'!C39</f>
        <v>15384253</v>
      </c>
      <c r="D101" s="15">
        <f>'נספח 1'!D39</f>
        <v>467368</v>
      </c>
      <c r="E101" s="15">
        <f>'נספח 1'!E39</f>
        <v>14760</v>
      </c>
      <c r="F101" s="15">
        <f>SUM(C101:E101)</f>
        <v>15866381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Revital Kibel</cp:lastModifiedBy>
  <cp:lastPrinted>2015-05-12T13:07:56Z</cp:lastPrinted>
  <dcterms:created xsi:type="dcterms:W3CDTF">2008-07-07T10:52:30Z</dcterms:created>
  <dcterms:modified xsi:type="dcterms:W3CDTF">2020-12-01T12:28:32Z</dcterms:modified>
  <cp:category/>
  <cp:version/>
  <cp:contentType/>
  <cp:contentStatus/>
</cp:coreProperties>
</file>