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20" yWindow="75" windowWidth="12120" windowHeight="8580" activeTab="0"/>
  </bookViews>
  <sheets>
    <sheet name="נספח 1" sheetId="1" r:id="rId1"/>
    <sheet name="נספח 2" sheetId="2" r:id="rId2"/>
    <sheet name="נספח 3" sheetId="3" r:id="rId3"/>
  </sheets>
  <definedNames>
    <definedName name="_xlnm.Print_Area" localSheetId="1">'נספח 2'!$A:$C</definedName>
  </definedNames>
  <calcPr fullCalcOnLoad="1"/>
</workbook>
</file>

<file path=xl/sharedStrings.xml><?xml version="1.0" encoding="utf-8"?>
<sst xmlns="http://schemas.openxmlformats.org/spreadsheetml/2006/main" count="214" uniqueCount="186">
  <si>
    <t xml:space="preserve">סך עמלות ברוקראז לצדדים שאינם קשורים </t>
  </si>
  <si>
    <t xml:space="preserve">סך עמלות ברוקראז לצדדים  קשורים </t>
  </si>
  <si>
    <t xml:space="preserve">סך עמלות קסטודיאן לצדדים קשורים </t>
  </si>
  <si>
    <t xml:space="preserve">סך עמלות קסטודיאן לצדדים שאינם קשורים </t>
  </si>
  <si>
    <t>סך תשלומים למנהלי תיקים ישראליים</t>
  </si>
  <si>
    <t>סך הכול הוצאות ישירות</t>
  </si>
  <si>
    <t>אלפי ₪</t>
  </si>
  <si>
    <t xml:space="preserve">ברוקראז- עמלות קנייה ומכירה בגין ביצוע עסקאות בנירות  ערך סחרים </t>
  </si>
  <si>
    <t>סך עמלות ברוקראז</t>
  </si>
  <si>
    <t>עמלות קסטודיאן</t>
  </si>
  <si>
    <t>סך עמלות קסטודיאן</t>
  </si>
  <si>
    <t>סך כל עמלות והוצאות</t>
  </si>
  <si>
    <t>סך תשלומים למנהלי תיקים זרים</t>
  </si>
  <si>
    <t>תשלום בגין השקעה בקרן נאמנות</t>
  </si>
  <si>
    <t>סך הכול עמלות ניהול חיצוני</t>
  </si>
  <si>
    <t>הבנק הבינלאומי הראשון לישראל בע"מ</t>
  </si>
  <si>
    <t>נספח 3 - פירוט עמלות ווניהול חיצוני לתקופה :</t>
  </si>
  <si>
    <t>נספח 2 - פירוט עמלות והוצאות לתקופה :</t>
  </si>
  <si>
    <t>נספח 1 - סך התשלומים ששולמו בגין כל סוג של הוצאה ישירה לתקופה :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</si>
  <si>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</si>
  <si>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</si>
  <si>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</si>
  <si>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</si>
  <si>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r>
      <t>תשלום למנהל תיקים ישראל</t>
    </r>
    <r>
      <rPr>
        <sz val="10"/>
        <rFont val="Arial"/>
        <family val="0"/>
      </rPr>
      <t>י :</t>
    </r>
  </si>
  <si>
    <t>א. קרן נאמנות ישראלית :</t>
  </si>
  <si>
    <t>ב. קרן חוץ :</t>
  </si>
  <si>
    <t>סך הוצאות הנובעות מהשקעה בניירות ערך לא סחירים וממתן הלוואה</t>
  </si>
  <si>
    <t>סך התשלומים הנובעים מהשקעה בקרנות השקעה</t>
  </si>
  <si>
    <t>כללי</t>
  </si>
  <si>
    <t>הלכתי</t>
  </si>
  <si>
    <t>סה"כ</t>
  </si>
  <si>
    <t>ללא מניות</t>
  </si>
  <si>
    <t>סך הכל נכסים לסוף תקופה קודמת</t>
  </si>
  <si>
    <t>סה"כ עמלות קניה ומכירה</t>
  </si>
  <si>
    <t>סה"כ עמלות קסטודיאן</t>
  </si>
  <si>
    <t>סה"כ 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</si>
  <si>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</si>
  <si>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</si>
  <si>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</si>
  <si>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</si>
  <si>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>סך תשלום הנובע מהשקעה בקרנות  השקעה בישראל</t>
  </si>
  <si>
    <t>סך תשלום הנובע מהשקעה בקרנות  השקעה בחול</t>
  </si>
  <si>
    <t>תשלום בגין השקעה בקרן נאמנות בישראל</t>
  </si>
  <si>
    <t>תשלום בגין השקעה בקרן נאמנות בחול</t>
  </si>
  <si>
    <t>סך הכל עמלות בגין תשלום השקעה בתעודת סל בישראל</t>
  </si>
  <si>
    <t>סך הכל עמלות בגין תשלום השקעה בתעודת סל בחול</t>
  </si>
  <si>
    <t>סה"כ הוצאות אחרות</t>
  </si>
  <si>
    <t>סך הוצאות בעד ניהול תביעות</t>
  </si>
  <si>
    <t>סך הוצאות בעד מתן משכנתאות</t>
  </si>
  <si>
    <t>תשלום הנובע מהשקעה בקרנות  השקעה בישראל</t>
  </si>
  <si>
    <t>תשלום הנובע מהשקעה בקרנות  השקעה בחול</t>
  </si>
  <si>
    <t>תשלום למנהל תיקים זרים :</t>
  </si>
  <si>
    <t>סך התשלום בגין השקעה בקרן נאמנות</t>
  </si>
  <si>
    <t>תעודות סל ישראלית</t>
  </si>
  <si>
    <t>תעודות סל זרה</t>
  </si>
  <si>
    <t>סך הכל עמלות בגין תשלום השקעה בתעודת סל</t>
  </si>
  <si>
    <t>בנק לאומי</t>
  </si>
  <si>
    <t>בנק דיסקונט</t>
  </si>
  <si>
    <t>אי.בי.אי.</t>
  </si>
  <si>
    <t>פועלים סהר</t>
  </si>
  <si>
    <t>קרן השקעה IGP</t>
  </si>
  <si>
    <t>יסודות א' נדלן ופיתוח שותפות מוגבלת</t>
  </si>
  <si>
    <t>קרן השתלמות למורים וגננות מקור - מאוחד</t>
  </si>
  <si>
    <t>STAGE 1</t>
  </si>
  <si>
    <t>אייפקס מדיום ישראל מורים</t>
  </si>
  <si>
    <t>בלו אטלנטיק פרטנרס</t>
  </si>
  <si>
    <t>פימי 6 אופורטוניטי ישראל FIMI</t>
  </si>
  <si>
    <t>תשתיות ישראל 3</t>
  </si>
  <si>
    <t>קרן שקד</t>
  </si>
  <si>
    <t>לידר</t>
  </si>
  <si>
    <t>דניאל קיסריה אנרגיה מורים</t>
  </si>
  <si>
    <t>אלפא מים פרטנרס</t>
  </si>
  <si>
    <t>בלו אטלנטיק 2</t>
  </si>
  <si>
    <t>קרן אלפא הזדמנויות</t>
  </si>
  <si>
    <t>ALTO FUND III מורים</t>
  </si>
  <si>
    <t>Levine Leichtman VI</t>
  </si>
  <si>
    <t>קרן טנא</t>
  </si>
  <si>
    <t>טנא הון צמיחה 4</t>
  </si>
  <si>
    <t>STAGE ONE 3</t>
  </si>
  <si>
    <t>פסגות ני"ע בע"מ</t>
  </si>
  <si>
    <t>קרן קוגיטו קפיטל מורים</t>
  </si>
  <si>
    <t>INSIGHT X</t>
  </si>
  <si>
    <t>פנתיאון אקסס מורים</t>
  </si>
  <si>
    <t>אחר</t>
  </si>
  <si>
    <t>ברוקר חול</t>
  </si>
  <si>
    <t>IGP INVESTMENTS II</t>
  </si>
  <si>
    <t>יסודות 2</t>
  </si>
  <si>
    <t>Bain Special Situation Europe</t>
  </si>
  <si>
    <t>ICG Europe VII מורים</t>
  </si>
  <si>
    <t>קרן וינטאג' 5 אקסס מורים</t>
  </si>
  <si>
    <t>ION ISRAEL FEEDER FUND LTD</t>
  </si>
  <si>
    <t>Electra Multifamily II</t>
  </si>
  <si>
    <t>SPHERA FD D</t>
  </si>
  <si>
    <t>קרן נוי 3 להשקעה בתשתיות אנרגי</t>
  </si>
  <si>
    <t>קרן ברוקפילד</t>
  </si>
  <si>
    <t>ריאליטי 4 מורים</t>
  </si>
  <si>
    <t>פרגרין ונצ'רם</t>
  </si>
  <si>
    <t>קרן פונטיפקס 5</t>
  </si>
  <si>
    <t>BLUE ATLANTIC PARTNERS III מורים</t>
  </si>
  <si>
    <t>GIP IV פסגות</t>
  </si>
  <si>
    <t>Welsch Carson XIII</t>
  </si>
  <si>
    <t>Forma Fund מורים</t>
  </si>
  <si>
    <t>KLIRMARK III מורים</t>
  </si>
  <si>
    <t>יסודות ג' נדלן ופיתוח שותפות מוגבלת</t>
  </si>
  <si>
    <t>Harbourvest Dover 10 מורים</t>
  </si>
  <si>
    <t>Insight Partners XI מורים</t>
  </si>
  <si>
    <t>קרן בלקסטון 9</t>
  </si>
  <si>
    <t>תשלום בגין השקעה קרנות סל</t>
  </si>
  <si>
    <t>קוגיטו בי.אם.אי מורים</t>
  </si>
  <si>
    <t>אלפא מים פרטנרס 2</t>
  </si>
  <si>
    <t>Pantheon Global Secondary Fund VI</t>
  </si>
  <si>
    <t>MV SENIOR 2 מורים</t>
  </si>
  <si>
    <t>Madison Realty Capital Debt Fund V</t>
  </si>
  <si>
    <t>אלקטרה נדל"ן 3 מורים</t>
  </si>
  <si>
    <t>עמלות קרנות השקעה</t>
  </si>
  <si>
    <t>Windin` Capital Fund LP מורים</t>
  </si>
  <si>
    <t>Electra Capital PM</t>
  </si>
  <si>
    <t>Hamilton Lane CI IV גננות</t>
  </si>
  <si>
    <t>Direct Lending Fund III גננות</t>
  </si>
  <si>
    <t>LCN III</t>
  </si>
  <si>
    <t>תשתיות ישראל 4  מורים</t>
  </si>
  <si>
    <t>Vintage Fund of Funds VI (Access) גננות</t>
  </si>
  <si>
    <t>Coller VIII - גננות</t>
  </si>
  <si>
    <t>Vintage Fund of Funds VI (Breakout) מורים</t>
  </si>
  <si>
    <t>EQT IX גננות</t>
  </si>
  <si>
    <t>FORTTISSIMO V גננות</t>
  </si>
  <si>
    <t>פונטיפקס 6 גננות</t>
  </si>
  <si>
    <t>תש"י רכבת קלה ירושלים</t>
  </si>
  <si>
    <t>Pantheon G-CI Opp V גננות</t>
  </si>
  <si>
    <t>מיטב דש</t>
  </si>
  <si>
    <t>פימי 7 גננות</t>
  </si>
  <si>
    <t>קרן נוי 4 גננות</t>
  </si>
  <si>
    <t>Marathon Real Estate Fund גננות</t>
  </si>
  <si>
    <t>HAMILTON LANE SECONDARY FEEDER FUND V-B LP</t>
  </si>
  <si>
    <t>Gatewood II גננות</t>
  </si>
  <si>
    <t>EQT Infrastructure V</t>
  </si>
  <si>
    <t xml:space="preserve"> הוצאות הנובעות ממימון פרוייקטים לתשתיות</t>
  </si>
  <si>
    <t>HDL - HarbourVest Direct Lending גננות</t>
  </si>
  <si>
    <t>ICG NORTH AMEIRCA גננות</t>
  </si>
  <si>
    <t>Primavera Capital Fund IV גננות</t>
  </si>
  <si>
    <t>Axiom Asia Co-in II גננות</t>
  </si>
  <si>
    <t>CVC CAPITAL PARTNERS VIII</t>
  </si>
  <si>
    <t>Faropoint Logistic II (FRG-X) גננות</t>
  </si>
  <si>
    <t>FIMI OPPORTUNITY V גננות</t>
  </si>
  <si>
    <t>טוליפ קפיטל מורים וגננות</t>
  </si>
  <si>
    <t>קרן נוקד אקווטי מקור מוג</t>
  </si>
  <si>
    <t>Firstime Ventures III L.P</t>
  </si>
  <si>
    <t>Insight Partners XII Annex גננות</t>
  </si>
  <si>
    <t>Insight Partners XII גננות</t>
  </si>
  <si>
    <t>Related גננות</t>
  </si>
  <si>
    <t>ASF VIII Infrastructure (ARDIAN) גננות</t>
  </si>
  <si>
    <t>SKY 4 LIMITED גננות</t>
  </si>
  <si>
    <t>קרן קוגיטו קפיטל II גננות</t>
  </si>
  <si>
    <t>ריאליטי מימון גננות</t>
  </si>
  <si>
    <t>lool Ventures III גננות</t>
  </si>
  <si>
    <t>Penfund Capital VII גננות</t>
  </si>
  <si>
    <t>MV Subordinated V גננות</t>
  </si>
  <si>
    <t>Schroders Capital גננות</t>
  </si>
  <si>
    <t>Pantheon GIF IV גננות</t>
  </si>
  <si>
    <t>Stage One IV גננות</t>
  </si>
  <si>
    <t>Pagaya AUTO Class A גננות</t>
  </si>
  <si>
    <t>Pagaya AUTO Class B גננות</t>
  </si>
  <si>
    <t>בנק מיזרחי</t>
  </si>
  <si>
    <t>Allianz APSL גננות</t>
  </si>
  <si>
    <t>OEP VIII-A גננות</t>
  </si>
  <si>
    <t>הפניקס חוב נדל"ן גננות</t>
  </si>
  <si>
    <t>בנק הפועלים</t>
  </si>
  <si>
    <t>Vintage Secondary V</t>
  </si>
  <si>
    <t>FRUX II גננות</t>
  </si>
  <si>
    <t>ICG Strategic Equity IV גננות</t>
  </si>
  <si>
    <t>Vintage FOF VII (Access) גננות</t>
  </si>
  <si>
    <t>Hamilton Lane Equity Opportunities Fund V גננות</t>
  </si>
  <si>
    <t>CORBEL DSOP גננות</t>
  </si>
  <si>
    <t>אלקטרה נדלן 4 גננות</t>
  </si>
  <si>
    <t>JTLV 3 גננות</t>
  </si>
  <si>
    <t>ECP Calpine Cont גננות</t>
  </si>
  <si>
    <t>Arclight 3C -Third Coast גננות</t>
  </si>
  <si>
    <t>אנרגי ואלי אנרגיה מורים</t>
  </si>
  <si>
    <t>Monarch Capital Partners VI גננות</t>
  </si>
  <si>
    <t>דרך הצפון (ע.ג.), שותפות מוגבלת</t>
  </si>
  <si>
    <t>01/09/2022-31/08/2023</t>
  </si>
  <si>
    <t>Klirmark Opportunity Fund IV, גננות</t>
  </si>
  <si>
    <t>EQT X גננות</t>
  </si>
  <si>
    <t>NB Credit Opportunities II גננות</t>
  </si>
  <si>
    <t xml:space="preserve">שיעור סך ההוצאות הישירות מסך הנכסים לסוף שנה קודמת, שההוצאה בגינן מוגבלת  לפי התקנות (באחוזים) </t>
  </si>
  <si>
    <t>שיעור סך הוצאות ישירות מתוך יתרת נכסים ממוצעת (באחוזים)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</si>
</sst>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?&quot;#,##0.00;[Red]&quot;?&quot;\-#,##0.00"/>
    <numFmt numFmtId="165" formatCode="&quot;?&quot;#,##0;[Red]&quot;?&quot;\-#,##0"/>
    <numFmt numFmtId="166" formatCode="###,##0.00"/>
    <numFmt numFmtId="167" formatCode="#,##0.0"/>
    <numFmt numFmtId="168" formatCode="#,##0.000"/>
    <numFmt numFmtId="169" formatCode="#,##0.0000"/>
    <numFmt numFmtId="170" formatCode="0.0000"/>
    <numFmt numFmtId="171" formatCode="0.000"/>
    <numFmt numFmtId="172" formatCode="###,##0.000000"/>
    <numFmt numFmtId="173" formatCode="###,##0.00000"/>
    <numFmt numFmtId="174" formatCode="###"/>
    <numFmt numFmtId="175" formatCode="#,##0.00_ ;[Red]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₪&quot;#,##0.00;[Red]&quot;₪&quot;\-#,##0.00"/>
    <numFmt numFmtId="181" formatCode="#,##0.000000000"/>
    <numFmt numFmtId="182" formatCode="#,##0.00000000"/>
    <numFmt numFmtId="183" formatCode="0.000%"/>
    <numFmt numFmtId="184" formatCode="_ * #,##0.000_ ;_ * \-#,##0.000_ ;_ * &quot;-&quot;??_ ;_ @_ "/>
    <numFmt numFmtId="185" formatCode="_ * #,##0.0_ ;_ * \-#,##0.0_ ;_ * &quot;-&quot;??_ ;_ @_ "/>
    <numFmt numFmtId="186" formatCode="_ * #,##0_ ;_ * \-#,##0_ ;_ * &quot;-&quot;??_ ;_ @_ 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Protection="0">
      <alignment/>
    </xf>
    <xf numFmtId="44" fontId="0" fillId="0" borderId="0" applyFont="0" applyFill="0" applyBorder="0" applyAlignment="0" applyProtection="0"/>
    <xf numFmtId="0" fontId="2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0" fontId="1" fillId="0" borderId="10" xfId="38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4" xfId="0" applyNumberFormat="1" applyFill="1" applyBorder="1" applyAlignment="1">
      <alignment/>
    </xf>
    <xf numFmtId="10" fontId="0" fillId="0" borderId="0" xfId="38" applyNumberFormat="1" applyFont="1" applyAlignment="1">
      <alignment/>
    </xf>
    <xf numFmtId="0" fontId="25" fillId="0" borderId="10" xfId="36" applyBorder="1" applyAlignment="1">
      <alignment horizontal="right"/>
      <protection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183" fontId="0" fillId="0" borderId="0" xfId="38" applyNumberFormat="1" applyFont="1" applyAlignment="1">
      <alignment/>
    </xf>
    <xf numFmtId="49" fontId="44" fillId="0" borderId="1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 horizontal="right" vertical="center"/>
    </xf>
    <xf numFmtId="0" fontId="25" fillId="0" borderId="13" xfId="36" applyBorder="1" applyAlignment="1">
      <alignment horizontal="right"/>
      <protection/>
    </xf>
    <xf numFmtId="0" fontId="0" fillId="0" borderId="13" xfId="0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43" fontId="0" fillId="0" borderId="10" xfId="33" applyFont="1" applyBorder="1" applyAlignment="1">
      <alignment/>
    </xf>
    <xf numFmtId="2" fontId="0" fillId="0" borderId="0" xfId="0" applyNumberFormat="1" applyAlignment="1">
      <alignment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3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6"/>
  <sheetViews>
    <sheetView rightToLeft="1" tabSelected="1" zoomScalePageLayoutView="0" workbookViewId="0" topLeftCell="A23">
      <selection activeCell="H37" sqref="H37"/>
    </sheetView>
  </sheetViews>
  <sheetFormatPr defaultColWidth="9.140625" defaultRowHeight="12.75"/>
  <cols>
    <col min="2" max="2" width="76.421875" style="0" customWidth="1"/>
    <col min="3" max="3" width="15.421875" style="0" customWidth="1"/>
    <col min="4" max="4" width="12.7109375" style="1" customWidth="1"/>
    <col min="5" max="5" width="11.7109375" style="1" customWidth="1"/>
    <col min="6" max="6" width="15.421875" style="1" customWidth="1"/>
    <col min="7" max="9" width="9.140625" style="1" customWidth="1"/>
  </cols>
  <sheetData>
    <row r="2" ht="12.75">
      <c r="B2" s="8" t="s">
        <v>18</v>
      </c>
    </row>
    <row r="3" ht="12.75">
      <c r="B3" s="14" t="s">
        <v>180</v>
      </c>
    </row>
    <row r="4" spans="3:6" ht="13.5" customHeight="1">
      <c r="C4" s="17" t="s">
        <v>28</v>
      </c>
      <c r="D4" s="17" t="s">
        <v>29</v>
      </c>
      <c r="E4" s="17" t="s">
        <v>31</v>
      </c>
      <c r="F4" s="17" t="s">
        <v>30</v>
      </c>
    </row>
    <row r="5" spans="2:6" ht="19.5" customHeight="1">
      <c r="B5" s="22" t="s">
        <v>62</v>
      </c>
      <c r="C5" s="18" t="s">
        <v>6</v>
      </c>
      <c r="D5" s="18" t="s">
        <v>6</v>
      </c>
      <c r="E5" s="18" t="s">
        <v>6</v>
      </c>
      <c r="F5" s="18" t="s">
        <v>6</v>
      </c>
    </row>
    <row r="6" spans="2:6" ht="19.5" customHeight="1">
      <c r="B6" s="7"/>
      <c r="C6" s="18"/>
      <c r="D6" s="18"/>
      <c r="E6" s="18"/>
      <c r="F6" s="18"/>
    </row>
    <row r="7" spans="2:6" ht="15">
      <c r="B7" s="7" t="s">
        <v>33</v>
      </c>
      <c r="C7" s="9"/>
      <c r="D7" s="9"/>
      <c r="E7" s="9"/>
      <c r="F7" s="9"/>
    </row>
    <row r="8" spans="2:6" ht="12.75">
      <c r="B8" s="3" t="s">
        <v>1</v>
      </c>
      <c r="C8" s="16">
        <f>'נספח 2'!C9</f>
        <v>16.67446</v>
      </c>
      <c r="D8" s="16">
        <f>'נספח 2'!D9</f>
        <v>0.33165999999999995</v>
      </c>
      <c r="E8" s="16">
        <f>'נספח 2'!E9</f>
        <v>0.12509</v>
      </c>
      <c r="F8" s="16">
        <f>SUM(C8:E8)</f>
        <v>17.13121</v>
      </c>
    </row>
    <row r="9" spans="2:6" ht="12.75">
      <c r="B9" s="3" t="s">
        <v>0</v>
      </c>
      <c r="C9" s="16">
        <f>'נספח 2'!C23</f>
        <v>244.01722</v>
      </c>
      <c r="D9" s="16">
        <f>'נספח 2'!D23</f>
        <v>4.67505</v>
      </c>
      <c r="E9" s="16">
        <f>'נספח 2'!E23</f>
        <v>0.50124</v>
      </c>
      <c r="F9" s="16">
        <f>SUM(C9:E9)</f>
        <v>249.19351</v>
      </c>
    </row>
    <row r="10" spans="2:6" ht="12.75">
      <c r="B10" s="3"/>
      <c r="C10" s="16"/>
      <c r="D10" s="16"/>
      <c r="E10" s="16"/>
      <c r="F10" s="16"/>
    </row>
    <row r="11" spans="2:6" ht="14.25" customHeight="1">
      <c r="B11" s="7" t="s">
        <v>34</v>
      </c>
      <c r="C11" s="16"/>
      <c r="D11" s="16"/>
      <c r="E11" s="16"/>
      <c r="F11" s="16"/>
    </row>
    <row r="12" spans="2:6" ht="12.75">
      <c r="B12" s="3" t="s">
        <v>2</v>
      </c>
      <c r="C12" s="16"/>
      <c r="D12" s="16"/>
      <c r="E12" s="16"/>
      <c r="F12" s="16"/>
    </row>
    <row r="13" spans="2:6" ht="12.75">
      <c r="B13" s="3" t="s">
        <v>3</v>
      </c>
      <c r="C13" s="16">
        <f>'נספח 2'!C31</f>
        <v>0</v>
      </c>
      <c r="D13" s="16">
        <f>'נספח 2'!D31</f>
        <v>0</v>
      </c>
      <c r="E13" s="16">
        <f>'נספח 2'!E31</f>
        <v>0</v>
      </c>
      <c r="F13" s="16">
        <f>SUM(C13:E13)</f>
        <v>0</v>
      </c>
    </row>
    <row r="14" spans="2:6" ht="12.75">
      <c r="B14" s="3"/>
      <c r="C14" s="16"/>
      <c r="D14" s="16"/>
      <c r="E14" s="16"/>
      <c r="F14" s="16"/>
    </row>
    <row r="15" spans="2:6" ht="15">
      <c r="B15" s="7" t="s">
        <v>35</v>
      </c>
      <c r="C15" s="16"/>
      <c r="D15" s="16"/>
      <c r="E15" s="16"/>
      <c r="F15" s="16"/>
    </row>
    <row r="16" spans="2:6" ht="12.75">
      <c r="B16" s="3" t="s">
        <v>36</v>
      </c>
      <c r="C16" s="16">
        <f>'נספח 2'!C39</f>
        <v>91.66993</v>
      </c>
      <c r="D16" s="16">
        <f>'נספח 2'!D39</f>
        <v>0</v>
      </c>
      <c r="E16" s="16">
        <f>'נספח 2'!E39</f>
        <v>0</v>
      </c>
      <c r="F16" s="16">
        <f>SUM(C16:E16)</f>
        <v>91.66993</v>
      </c>
    </row>
    <row r="17" spans="2:6" ht="12.75">
      <c r="B17" s="3" t="s">
        <v>37</v>
      </c>
      <c r="C17" s="16">
        <f>'נספח 2'!C54</f>
        <v>161.3969007223591</v>
      </c>
      <c r="D17" s="16">
        <f>'נספח 2'!D54</f>
        <v>0</v>
      </c>
      <c r="E17" s="16">
        <f>'נספח 2'!E54</f>
        <v>0</v>
      </c>
      <c r="F17" s="16">
        <f>SUM(C17:E17)</f>
        <v>161.3969007223591</v>
      </c>
    </row>
    <row r="18" spans="2:6" ht="12.75">
      <c r="B18" s="3" t="s">
        <v>38</v>
      </c>
      <c r="C18" s="16"/>
      <c r="D18" s="16"/>
      <c r="E18" s="16"/>
      <c r="F18" s="16"/>
    </row>
    <row r="19" spans="2:6" ht="12.75">
      <c r="B19" s="3"/>
      <c r="C19" s="16"/>
      <c r="D19" s="16"/>
      <c r="E19" s="16"/>
      <c r="F19" s="16"/>
    </row>
    <row r="20" spans="2:6" ht="15">
      <c r="B20" s="7" t="s">
        <v>39</v>
      </c>
      <c r="C20" s="16"/>
      <c r="D20" s="16"/>
      <c r="E20" s="16"/>
      <c r="F20" s="16"/>
    </row>
    <row r="21" spans="2:6" ht="12.75">
      <c r="B21" s="3" t="s">
        <v>40</v>
      </c>
      <c r="C21" s="16">
        <f>'נספח 3'!C38</f>
        <v>433.2860034360848</v>
      </c>
      <c r="D21" s="16">
        <f>'נספח 3'!D38</f>
        <v>0</v>
      </c>
      <c r="E21" s="16">
        <f>'נספח 3'!E38</f>
        <v>0</v>
      </c>
      <c r="F21" s="16">
        <f>SUM(C21:E21)</f>
        <v>433.2860034360848</v>
      </c>
    </row>
    <row r="22" spans="2:6" ht="12.75">
      <c r="B22" s="3" t="s">
        <v>41</v>
      </c>
      <c r="C22" s="16">
        <f>'נספח 3'!C117</f>
        <v>1453.1825509163236</v>
      </c>
      <c r="D22" s="16">
        <f>'נספח 3'!D117</f>
        <v>0</v>
      </c>
      <c r="E22" s="16">
        <f>'נספח 3'!E117</f>
        <v>0</v>
      </c>
      <c r="F22" s="16">
        <f>SUM(C22:E22)</f>
        <v>1453.1825509163236</v>
      </c>
    </row>
    <row r="23" spans="2:6" ht="12.75">
      <c r="B23" s="6" t="s">
        <v>4</v>
      </c>
      <c r="C23" s="16"/>
      <c r="D23" s="16"/>
      <c r="E23" s="16"/>
      <c r="F23" s="16"/>
    </row>
    <row r="24" spans="2:6" ht="12.75">
      <c r="B24" s="6" t="s">
        <v>12</v>
      </c>
      <c r="C24" s="16"/>
      <c r="D24" s="16"/>
      <c r="E24" s="16"/>
      <c r="F24" s="16"/>
    </row>
    <row r="25" spans="2:6" ht="12.75">
      <c r="B25" s="3" t="s">
        <v>42</v>
      </c>
      <c r="C25" s="16">
        <f>'נספח 3'!C128</f>
        <v>11.762697574630137</v>
      </c>
      <c r="D25" s="16"/>
      <c r="E25" s="16"/>
      <c r="F25" s="16">
        <f>SUM(C25:E25)</f>
        <v>11.762697574630137</v>
      </c>
    </row>
    <row r="26" spans="2:6" ht="12.75">
      <c r="B26" s="3" t="s">
        <v>43</v>
      </c>
      <c r="C26" s="16">
        <f>'נספח 3'!C129</f>
        <v>142.29116401381373</v>
      </c>
      <c r="D26" s="16">
        <f>'נספח 3'!D129</f>
        <v>1.6810202195369863</v>
      </c>
      <c r="E26" s="16">
        <f>'נספח 3'!E129</f>
        <v>0.19192544876712328</v>
      </c>
      <c r="F26" s="16">
        <f>SUM(C26:E26)</f>
        <v>144.16410968211784</v>
      </c>
    </row>
    <row r="27" spans="2:6" ht="12.75">
      <c r="B27" s="6" t="s">
        <v>44</v>
      </c>
      <c r="C27" s="16">
        <f>'נספח 3'!C133</f>
        <v>5.925803440593885</v>
      </c>
      <c r="D27" s="16">
        <f>'נספח 3'!D133</f>
        <v>-0.036157455273666976</v>
      </c>
      <c r="E27" s="16">
        <f>'נספח 3'!E133</f>
        <v>0.303187109945081</v>
      </c>
      <c r="F27" s="16">
        <f>SUM(C27:E27)</f>
        <v>6.192833095265299</v>
      </c>
    </row>
    <row r="28" spans="2:6" ht="12.75">
      <c r="B28" s="6" t="s">
        <v>45</v>
      </c>
      <c r="C28" s="16">
        <f>'נספח 3'!C134</f>
        <v>432.97705568289575</v>
      </c>
      <c r="D28" s="16">
        <f>'נספח 3'!D134</f>
        <v>14.697006575945204</v>
      </c>
      <c r="E28" s="16">
        <f>'נספח 3'!E134</f>
        <v>0.015867396438356166</v>
      </c>
      <c r="F28" s="16">
        <f>SUM(C28:E28)</f>
        <v>447.6899296552793</v>
      </c>
    </row>
    <row r="29" spans="2:6" ht="12.75">
      <c r="B29" s="6"/>
      <c r="C29" s="16"/>
      <c r="D29" s="16"/>
      <c r="E29" s="16"/>
      <c r="F29" s="16"/>
    </row>
    <row r="30" spans="2:6" ht="15">
      <c r="B30" s="7" t="s">
        <v>46</v>
      </c>
      <c r="C30" s="16"/>
      <c r="D30" s="16"/>
      <c r="E30" s="16"/>
      <c r="F30" s="16"/>
    </row>
    <row r="31" spans="2:6" ht="12.75">
      <c r="B31" s="3" t="s">
        <v>47</v>
      </c>
      <c r="C31" s="16"/>
      <c r="D31" s="16"/>
      <c r="E31" s="16"/>
      <c r="F31" s="16"/>
    </row>
    <row r="32" spans="2:6" ht="12.75">
      <c r="B32" s="3" t="s">
        <v>48</v>
      </c>
      <c r="C32" s="16"/>
      <c r="D32" s="16"/>
      <c r="E32" s="16"/>
      <c r="F32" s="16"/>
    </row>
    <row r="33" spans="2:6" ht="12.75">
      <c r="B33" s="2"/>
      <c r="C33" s="16"/>
      <c r="D33" s="16"/>
      <c r="E33" s="16"/>
      <c r="F33" s="16"/>
    </row>
    <row r="34" spans="2:6" ht="12.75">
      <c r="B34" s="3" t="s">
        <v>5</v>
      </c>
      <c r="C34" s="16">
        <f>+C9+C13+C16+C21+C22+C27+C28+C8+C26+C25+C17</f>
        <v>2993.1837857867013</v>
      </c>
      <c r="D34" s="16">
        <f>+D9+D13+D16+D21+D22+D27+D28+D8+D26+D25+D17</f>
        <v>21.348579340208524</v>
      </c>
      <c r="E34" s="16">
        <f>+E9+E13+E16+E21+E22+E27+E28+E8+E26+E25+E17</f>
        <v>1.1373099551505605</v>
      </c>
      <c r="F34" s="16">
        <f>SUM(C34:E34)</f>
        <v>3015.6696750820606</v>
      </c>
    </row>
    <row r="35" spans="2:6" ht="12.75">
      <c r="B35" s="3"/>
      <c r="C35" s="11"/>
      <c r="D35" s="11"/>
      <c r="E35" s="11"/>
      <c r="F35" s="11"/>
    </row>
    <row r="36" spans="2:6" ht="25.5">
      <c r="B36" s="20" t="s">
        <v>184</v>
      </c>
      <c r="C36" s="21">
        <f>(C17+C21+C22+C27+C28+C32+C26+C25)/C39</f>
        <v>0.0030435965214532117</v>
      </c>
      <c r="D36" s="21">
        <f>(D17+D21+D22+D27+D28+D32+D26+D25)/D39</f>
        <v>0.0006845048730924238</v>
      </c>
      <c r="E36" s="21">
        <f>(E17+E21+E22+E27+E28+E32+E26+E25)/E39</f>
        <v>0.00017736201150661592</v>
      </c>
      <c r="F36" s="21">
        <f>(F17+F21+F22+F27+F28+F32+F26+F25)/F39</f>
        <v>0.0029713948984616393</v>
      </c>
    </row>
    <row r="37" spans="2:6" ht="12.75">
      <c r="B37" s="20" t="s">
        <v>185</v>
      </c>
      <c r="C37" s="21">
        <f>(C34)/((C39+921463)/2)</f>
        <v>0.003345969417265507</v>
      </c>
      <c r="D37" s="21">
        <f>(D34)/((D39+26507)/2)</f>
        <v>0.0008474853353529515</v>
      </c>
      <c r="E37" s="21">
        <f>(E34)/((E39+2645)/2)</f>
        <v>0.0004116214097540936</v>
      </c>
      <c r="F37" s="21">
        <f>(F34)/((F39+950615)/2)</f>
        <v>0.003268956605248205</v>
      </c>
    </row>
    <row r="38" spans="2:6" ht="12.75">
      <c r="B38" s="2"/>
      <c r="C38" s="16"/>
      <c r="D38" s="16"/>
      <c r="E38" s="16"/>
      <c r="F38" s="16"/>
    </row>
    <row r="39" spans="2:6" ht="12.75">
      <c r="B39" s="3" t="s">
        <v>32</v>
      </c>
      <c r="C39" s="16">
        <v>867665</v>
      </c>
      <c r="D39" s="16">
        <v>23874</v>
      </c>
      <c r="E39" s="16">
        <v>2881</v>
      </c>
      <c r="F39" s="16">
        <f>+C39+D39+E39</f>
        <v>894420</v>
      </c>
    </row>
    <row r="40" spans="3:6" ht="12.75">
      <c r="C40" s="25"/>
      <c r="D40" s="26"/>
      <c r="E40" s="26"/>
      <c r="F40" s="26"/>
    </row>
    <row r="41" spans="3:7" ht="12.75">
      <c r="C41" s="15"/>
      <c r="D41" s="15"/>
      <c r="E41" s="15"/>
      <c r="F41" s="15"/>
      <c r="G41" s="15"/>
    </row>
    <row r="42" spans="3:7" ht="12.75">
      <c r="C42" s="15"/>
      <c r="D42" s="15"/>
      <c r="E42" s="15"/>
      <c r="F42" s="15"/>
      <c r="G42" s="15"/>
    </row>
    <row r="43" spans="3:7" ht="12.75">
      <c r="C43" s="15"/>
      <c r="D43" s="15"/>
      <c r="E43" s="15"/>
      <c r="F43" s="15"/>
      <c r="G43" s="15"/>
    </row>
    <row r="44" spans="3:7" ht="12.75">
      <c r="C44" s="15"/>
      <c r="D44" s="15"/>
      <c r="E44" s="15"/>
      <c r="F44" s="15"/>
      <c r="G44" s="15"/>
    </row>
    <row r="45" spans="3:7" ht="12.75">
      <c r="C45" s="15"/>
      <c r="D45" s="15"/>
      <c r="E45" s="15"/>
      <c r="F45" s="15"/>
      <c r="G45" s="15"/>
    </row>
    <row r="46" spans="3:6" ht="12.75">
      <c r="C46" s="35"/>
      <c r="D46" s="31"/>
      <c r="E46" s="31"/>
      <c r="F46" s="31"/>
    </row>
    <row r="47" spans="3:6" ht="12.75">
      <c r="C47" s="15"/>
      <c r="D47" s="15"/>
      <c r="E47" s="15"/>
      <c r="F47" s="15"/>
    </row>
    <row r="48" spans="3:6" ht="12.75">
      <c r="C48" s="31"/>
      <c r="D48" s="31"/>
      <c r="E48" s="31"/>
      <c r="F48" s="31"/>
    </row>
    <row r="49" spans="3:6" ht="12.75">
      <c r="C49" s="15"/>
      <c r="D49" s="15"/>
      <c r="E49" s="15"/>
      <c r="F49" s="15"/>
    </row>
    <row r="50" spans="3:6" ht="12.75">
      <c r="C50" s="31"/>
      <c r="D50" s="31"/>
      <c r="E50" s="31"/>
      <c r="F50" s="31"/>
    </row>
    <row r="51" spans="3:7" ht="12.75">
      <c r="C51" s="15"/>
      <c r="D51" s="15"/>
      <c r="E51" s="15"/>
      <c r="F51" s="15"/>
      <c r="G51" s="34"/>
    </row>
    <row r="52" spans="3:6" ht="12.75">
      <c r="C52" s="31"/>
      <c r="D52" s="31"/>
      <c r="E52" s="31"/>
      <c r="F52" s="31"/>
    </row>
    <row r="53" spans="3:6" ht="12.75">
      <c r="C53" s="15"/>
      <c r="D53" s="15"/>
      <c r="E53" s="15"/>
      <c r="F53" s="15"/>
    </row>
    <row r="54" spans="3:6" ht="12.75">
      <c r="C54" s="31"/>
      <c r="D54" s="31"/>
      <c r="E54" s="31"/>
      <c r="F54" s="31"/>
    </row>
    <row r="55" spans="3:6" ht="12.75">
      <c r="C55" s="15"/>
      <c r="D55" s="15"/>
      <c r="E55" s="15"/>
      <c r="F55" s="15"/>
    </row>
    <row r="56" spans="3:6" ht="12.75">
      <c r="C56" s="31"/>
      <c r="D56" s="31"/>
      <c r="E56" s="31"/>
      <c r="F56" s="3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"/>
  <sheetViews>
    <sheetView rightToLeft="1" zoomScalePageLayoutView="0" workbookViewId="0" topLeftCell="A28">
      <selection activeCell="C52" sqref="C52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</cols>
  <sheetData>
    <row r="2" spans="2:3" ht="12.75">
      <c r="B2" s="5" t="s">
        <v>17</v>
      </c>
      <c r="C2" s="1"/>
    </row>
    <row r="3" spans="2:3" ht="14.25" customHeight="1">
      <c r="B3" s="13" t="str">
        <f>'נספח 1'!B3</f>
        <v>01/09/2022-31/08/2023</v>
      </c>
      <c r="C3" s="1"/>
    </row>
    <row r="4" spans="2:6" ht="12.75">
      <c r="B4" s="1"/>
      <c r="C4" s="17" t="s">
        <v>28</v>
      </c>
      <c r="D4" s="17" t="s">
        <v>29</v>
      </c>
      <c r="E4" s="17" t="s">
        <v>31</v>
      </c>
      <c r="F4" s="17" t="s">
        <v>30</v>
      </c>
    </row>
    <row r="5" spans="2:6" ht="25.5" customHeight="1">
      <c r="B5" s="7" t="str">
        <f>'נספח 1'!B5</f>
        <v>קרן השתלמות למורים וגננות מקור - מאוחד</v>
      </c>
      <c r="C5" s="19" t="s">
        <v>6</v>
      </c>
      <c r="D5" s="19" t="s">
        <v>6</v>
      </c>
      <c r="E5" s="19" t="s">
        <v>6</v>
      </c>
      <c r="F5" s="19" t="s">
        <v>6</v>
      </c>
    </row>
    <row r="6" spans="2:6" ht="15">
      <c r="B6" s="7"/>
      <c r="C6" s="3"/>
      <c r="D6" s="3"/>
      <c r="E6" s="3"/>
      <c r="F6" s="3"/>
    </row>
    <row r="7" spans="2:6" ht="12.75">
      <c r="B7" s="4" t="s">
        <v>7</v>
      </c>
      <c r="C7" s="10"/>
      <c r="D7" s="10"/>
      <c r="E7" s="10"/>
      <c r="F7" s="10"/>
    </row>
    <row r="8" spans="2:6" ht="12.75">
      <c r="B8" s="3" t="s">
        <v>19</v>
      </c>
      <c r="C8" s="10"/>
      <c r="D8" s="10"/>
      <c r="E8" s="10"/>
      <c r="F8" s="10"/>
    </row>
    <row r="9" spans="2:8" ht="12.75">
      <c r="B9" s="23" t="s">
        <v>129</v>
      </c>
      <c r="C9" s="11">
        <f>7285.6/1000+4207.1/1000+2753.68/1000+2428.08/1000</f>
        <v>16.67446</v>
      </c>
      <c r="D9" s="11">
        <f>195.02/1000+47.25/1000+89.39/1000</f>
        <v>0.33165999999999995</v>
      </c>
      <c r="E9" s="11">
        <f>100.47/1000+10.79/1000+13.83/1000</f>
        <v>0.12509</v>
      </c>
      <c r="F9" s="16">
        <f>SUM(C9:E9)</f>
        <v>17.13121</v>
      </c>
      <c r="G9" s="1"/>
      <c r="H9" s="37"/>
    </row>
    <row r="10" spans="2:7" ht="12.75">
      <c r="B10" s="3" t="s">
        <v>20</v>
      </c>
      <c r="C10" s="27"/>
      <c r="D10" s="27"/>
      <c r="E10" s="27"/>
      <c r="F10" s="27"/>
      <c r="G10" s="1"/>
    </row>
    <row r="11" spans="2:6" ht="12.75">
      <c r="B11" s="2" t="s">
        <v>15</v>
      </c>
      <c r="C11" s="10">
        <f>13303.09/1000+16661.49/1000+26764.81/1000+14115.46/1000</f>
        <v>70.84485000000001</v>
      </c>
      <c r="D11" s="10">
        <f>564.62/1000+596.72/1000+1394.31/1000+503.09/1000</f>
        <v>3.05874</v>
      </c>
      <c r="E11" s="10">
        <f>18.27/1000+59.61/1000+116.84/1000+251.76/1000</f>
        <v>0.44648</v>
      </c>
      <c r="F11" s="27">
        <f aca="true" t="shared" si="0" ref="F11:F21">SUM(C11:E11)</f>
        <v>74.35007</v>
      </c>
    </row>
    <row r="12" spans="2:7" ht="12.75">
      <c r="B12" s="24" t="s">
        <v>58</v>
      </c>
      <c r="C12" s="10">
        <f>3875.1/1000+1115.49/1000+1700.87/1000+636.56/1000</f>
        <v>7.32802</v>
      </c>
      <c r="D12" s="10">
        <f>7.02/1000</f>
        <v>0.007019999999999999</v>
      </c>
      <c r="E12" s="10"/>
      <c r="F12" s="27">
        <f t="shared" si="0"/>
        <v>7.33504</v>
      </c>
      <c r="G12" s="1"/>
    </row>
    <row r="13" spans="2:7" ht="12.75">
      <c r="B13" s="24" t="s">
        <v>57</v>
      </c>
      <c r="C13" s="10">
        <f>48.31/1000+153.37/1000+1019.38/1000</f>
        <v>1.22106</v>
      </c>
      <c r="D13" s="10">
        <v>0.007</v>
      </c>
      <c r="E13" s="10">
        <f>1.69/1000</f>
        <v>0.0016899999999999999</v>
      </c>
      <c r="F13" s="27">
        <f t="shared" si="0"/>
        <v>1.22975</v>
      </c>
      <c r="G13" s="38"/>
    </row>
    <row r="14" spans="2:7" ht="12.75">
      <c r="B14" s="33" t="s">
        <v>56</v>
      </c>
      <c r="C14" s="10">
        <f>991.7/1000+1344.21/1000+767.68/1000</f>
        <v>3.10359</v>
      </c>
      <c r="D14" s="10"/>
      <c r="E14" s="10"/>
      <c r="F14" s="27">
        <f t="shared" si="0"/>
        <v>3.10359</v>
      </c>
      <c r="G14" s="38"/>
    </row>
    <row r="15" spans="2:7" ht="12.75">
      <c r="B15" s="33" t="s">
        <v>166</v>
      </c>
      <c r="C15" s="10">
        <f>244.78/1000+683.98/1000+138.03/1000</f>
        <v>1.0667900000000001</v>
      </c>
      <c r="D15" s="10"/>
      <c r="E15" s="10"/>
      <c r="F15" s="27">
        <f t="shared" si="0"/>
        <v>1.0667900000000001</v>
      </c>
      <c r="G15" s="38"/>
    </row>
    <row r="16" spans="2:7" ht="12.75">
      <c r="B16" s="33" t="s">
        <v>162</v>
      </c>
      <c r="C16" s="10">
        <f>738.72/1000+1600.61/1000+815/1000+328/1000</f>
        <v>3.4823299999999997</v>
      </c>
      <c r="D16" s="10">
        <f>29.4/1000+5/1000</f>
        <v>0.0344</v>
      </c>
      <c r="E16" s="10"/>
      <c r="F16" s="27">
        <f t="shared" si="0"/>
        <v>3.51673</v>
      </c>
      <c r="G16" s="38"/>
    </row>
    <row r="17" spans="2:7" ht="12.75">
      <c r="B17" s="24" t="s">
        <v>69</v>
      </c>
      <c r="C17" s="10">
        <f>4156.05/1000+2752.53/1000+2137.91/1000+8.3/1000</f>
        <v>9.05479</v>
      </c>
      <c r="D17" s="10">
        <f>21.44/1000+16.38/1000+4.45/1000</f>
        <v>0.04227</v>
      </c>
      <c r="E17" s="10">
        <f>11.17/1000+4.55/1000+0.56/1000</f>
        <v>0.01628</v>
      </c>
      <c r="F17" s="27">
        <f t="shared" si="0"/>
        <v>9.11334</v>
      </c>
      <c r="G17" s="38"/>
    </row>
    <row r="18" spans="2:7" ht="12.75">
      <c r="B18" s="23" t="s">
        <v>79</v>
      </c>
      <c r="C18" s="10">
        <f>2291.39/1000+1357.49/1000+675.76/1000</f>
        <v>4.3246400000000005</v>
      </c>
      <c r="D18" s="10">
        <f>47.2/1000</f>
        <v>0.047200000000000006</v>
      </c>
      <c r="E18" s="10">
        <f>0.33/1000</f>
        <v>0.00033</v>
      </c>
      <c r="F18" s="27">
        <f t="shared" si="0"/>
        <v>4.372170000000001</v>
      </c>
      <c r="G18" s="38"/>
    </row>
    <row r="19" spans="2:6" ht="12.75">
      <c r="B19" s="24" t="s">
        <v>84</v>
      </c>
      <c r="C19" s="10">
        <f>24427.08/1000+35857.76/1000+50557.31/1000+32749/1000</f>
        <v>143.59115</v>
      </c>
      <c r="D19" s="10">
        <f>158.54/1000+222.46/1000+687.62/1000+409.8/1000</f>
        <v>1.47842</v>
      </c>
      <c r="E19" s="10">
        <f>10.94/1000+25.52/1000</f>
        <v>0.03646</v>
      </c>
      <c r="F19" s="27">
        <f t="shared" si="0"/>
        <v>145.10603</v>
      </c>
    </row>
    <row r="20" spans="2:6" ht="12.75">
      <c r="B20" s="33"/>
      <c r="C20" s="27"/>
      <c r="D20" s="27"/>
      <c r="E20" s="27"/>
      <c r="F20" s="27">
        <f t="shared" si="0"/>
        <v>0</v>
      </c>
    </row>
    <row r="21" spans="2:6" ht="12.75">
      <c r="B21" s="24"/>
      <c r="C21" s="27"/>
      <c r="D21" s="27"/>
      <c r="E21" s="27"/>
      <c r="F21" s="27">
        <f t="shared" si="0"/>
        <v>0</v>
      </c>
    </row>
    <row r="22" spans="2:6" ht="12.75">
      <c r="B22" s="24"/>
      <c r="C22" s="27"/>
      <c r="D22" s="27"/>
      <c r="E22" s="27"/>
      <c r="F22" s="27"/>
    </row>
    <row r="23" spans="2:6" ht="12.75">
      <c r="B23" s="3" t="s">
        <v>8</v>
      </c>
      <c r="C23" s="16">
        <f>SUM(C11:C22)</f>
        <v>244.01722</v>
      </c>
      <c r="D23" s="16">
        <f>SUM(D11:D22)</f>
        <v>4.67505</v>
      </c>
      <c r="E23" s="16">
        <f>SUM(E11:E22)</f>
        <v>0.50124</v>
      </c>
      <c r="F23" s="16">
        <f>SUM(F11:F22)</f>
        <v>249.19351</v>
      </c>
    </row>
    <row r="24" spans="2:6" ht="12.75">
      <c r="B24" s="2"/>
      <c r="C24" s="27"/>
      <c r="D24" s="27"/>
      <c r="E24" s="27"/>
      <c r="F24" s="27"/>
    </row>
    <row r="25" spans="2:6" ht="12.75">
      <c r="B25" s="4" t="s">
        <v>9</v>
      </c>
      <c r="C25" s="27"/>
      <c r="D25" s="27"/>
      <c r="E25" s="27"/>
      <c r="F25" s="27"/>
    </row>
    <row r="26" spans="2:6" ht="12.75">
      <c r="B26" s="3" t="s">
        <v>19</v>
      </c>
      <c r="C26" s="27"/>
      <c r="D26" s="27"/>
      <c r="E26" s="27"/>
      <c r="F26" s="27"/>
    </row>
    <row r="27" spans="2:6" ht="12.75">
      <c r="B27" s="3"/>
      <c r="C27" s="27"/>
      <c r="D27" s="27"/>
      <c r="E27" s="27"/>
      <c r="F27" s="27"/>
    </row>
    <row r="28" spans="2:6" ht="12.75">
      <c r="B28" s="3" t="s">
        <v>20</v>
      </c>
      <c r="C28" s="27"/>
      <c r="D28" s="27"/>
      <c r="E28" s="27"/>
      <c r="F28" s="27"/>
    </row>
    <row r="29" spans="2:6" ht="12.75">
      <c r="B29" s="2" t="s">
        <v>15</v>
      </c>
      <c r="C29" s="27"/>
      <c r="D29" s="27"/>
      <c r="E29" s="27"/>
      <c r="F29" s="27">
        <f>SUM(C29:E29)</f>
        <v>0</v>
      </c>
    </row>
    <row r="30" spans="2:6" ht="12.75">
      <c r="B30" s="23" t="s">
        <v>59</v>
      </c>
      <c r="C30" s="10"/>
      <c r="D30" s="27"/>
      <c r="E30" s="27"/>
      <c r="F30" s="27"/>
    </row>
    <row r="31" spans="2:6" ht="12.75">
      <c r="B31" s="3" t="s">
        <v>10</v>
      </c>
      <c r="C31" s="16">
        <f>SUM(C26:C30)</f>
        <v>0</v>
      </c>
      <c r="D31" s="16">
        <f>SUM(D26:D30)</f>
        <v>0</v>
      </c>
      <c r="E31" s="16">
        <f>SUM(E26:E30)</f>
        <v>0</v>
      </c>
      <c r="F31" s="16">
        <f>SUM(F26:F29)</f>
        <v>0</v>
      </c>
    </row>
    <row r="32" spans="2:6" ht="12.75">
      <c r="B32" s="2"/>
      <c r="C32" s="27"/>
      <c r="D32" s="27"/>
      <c r="E32" s="27"/>
      <c r="F32" s="27"/>
    </row>
    <row r="33" spans="2:6" ht="12.75">
      <c r="B33" s="3" t="s">
        <v>21</v>
      </c>
      <c r="C33" s="27"/>
      <c r="D33" s="27"/>
      <c r="E33" s="27"/>
      <c r="F33" s="27"/>
    </row>
    <row r="34" spans="2:6" ht="12.75">
      <c r="B34" s="2"/>
      <c r="C34" s="27"/>
      <c r="D34" s="27"/>
      <c r="E34" s="27"/>
      <c r="F34" s="27">
        <f>SUM(C34:E34)</f>
        <v>0</v>
      </c>
    </row>
    <row r="35" spans="2:6" ht="13.5" customHeight="1">
      <c r="B35" s="12" t="s">
        <v>83</v>
      </c>
      <c r="C35" s="10">
        <f>73779.9/1000</f>
        <v>73.7799</v>
      </c>
      <c r="D35" s="10"/>
      <c r="E35" s="10"/>
      <c r="F35" s="27">
        <f>SUM(C35:E35)</f>
        <v>73.7799</v>
      </c>
    </row>
    <row r="36" spans="2:6" ht="12.75">
      <c r="B36" s="36" t="s">
        <v>114</v>
      </c>
      <c r="C36" s="27">
        <f>17890.03/1000</f>
        <v>17.89003</v>
      </c>
      <c r="D36" s="27"/>
      <c r="E36" s="27"/>
      <c r="F36" s="27">
        <f>SUM(C36:E36)</f>
        <v>17.89003</v>
      </c>
    </row>
    <row r="37" spans="2:6" ht="12.75">
      <c r="B37" s="2"/>
      <c r="C37" s="27"/>
      <c r="D37" s="27"/>
      <c r="E37" s="27"/>
      <c r="F37" s="27">
        <f>SUM(C37:E37)</f>
        <v>0</v>
      </c>
    </row>
    <row r="38" spans="2:6" ht="12.75">
      <c r="B38" s="2"/>
      <c r="C38" s="27"/>
      <c r="D38" s="27"/>
      <c r="E38" s="27"/>
      <c r="F38" s="27">
        <f>SUM(C38:E38)</f>
        <v>0</v>
      </c>
    </row>
    <row r="39" spans="2:6" ht="12.75">
      <c r="B39" s="3" t="s">
        <v>26</v>
      </c>
      <c r="C39" s="16">
        <f>SUM(C34:C38)</f>
        <v>91.66993</v>
      </c>
      <c r="D39" s="16">
        <f>SUM(D34:D38)</f>
        <v>0</v>
      </c>
      <c r="E39" s="16">
        <f>SUM(E34:E38)</f>
        <v>0</v>
      </c>
      <c r="F39" s="16">
        <f>SUM(F34:F38)</f>
        <v>91.66993</v>
      </c>
    </row>
    <row r="40" spans="2:8" ht="12.75">
      <c r="B40" s="3"/>
      <c r="C40" s="16"/>
      <c r="D40" s="16"/>
      <c r="E40" s="16"/>
      <c r="F40" s="16"/>
      <c r="H40" s="2"/>
    </row>
    <row r="41" spans="2:6" ht="12.75">
      <c r="B41" s="3" t="s">
        <v>136</v>
      </c>
      <c r="C41" s="16"/>
      <c r="D41" s="16"/>
      <c r="E41" s="16"/>
      <c r="F41" s="16"/>
    </row>
    <row r="42" spans="2:6" ht="12.75">
      <c r="B42" s="3"/>
      <c r="C42" s="16"/>
      <c r="D42" s="16"/>
      <c r="E42" s="16"/>
      <c r="F42" s="16"/>
    </row>
    <row r="43" spans="2:6" ht="14.25">
      <c r="B43" s="39" t="s">
        <v>93</v>
      </c>
      <c r="C43" s="10">
        <v>15.944666666666668</v>
      </c>
      <c r="D43" s="27"/>
      <c r="E43" s="27"/>
      <c r="F43" s="28">
        <f>SUM(C43:E43)</f>
        <v>15.944666666666668</v>
      </c>
    </row>
    <row r="44" spans="2:6" ht="14.25">
      <c r="B44" s="39" t="s">
        <v>131</v>
      </c>
      <c r="C44" s="10">
        <v>19.528666666666666</v>
      </c>
      <c r="D44" s="27"/>
      <c r="E44" s="27"/>
      <c r="F44" s="28">
        <f aca="true" t="shared" si="1" ref="F44:F52">SUM(C44:E44)</f>
        <v>19.528666666666666</v>
      </c>
    </row>
    <row r="45" spans="2:6" ht="14.25">
      <c r="B45" s="39" t="s">
        <v>109</v>
      </c>
      <c r="C45" s="10">
        <v>2.8315495050851123</v>
      </c>
      <c r="D45" s="27"/>
      <c r="E45" s="27"/>
      <c r="F45" s="28">
        <f t="shared" si="1"/>
        <v>2.8315495050851123</v>
      </c>
    </row>
    <row r="46" spans="2:6" ht="14.25">
      <c r="B46" s="39" t="s">
        <v>120</v>
      </c>
      <c r="C46" s="10">
        <v>58.73057433333334</v>
      </c>
      <c r="D46" s="27"/>
      <c r="E46" s="27"/>
      <c r="F46" s="28">
        <f t="shared" si="1"/>
        <v>58.73057433333334</v>
      </c>
    </row>
    <row r="47" spans="2:6" ht="14.25">
      <c r="B47" s="39" t="s">
        <v>67</v>
      </c>
      <c r="C47" s="10">
        <v>37.29079866666667</v>
      </c>
      <c r="D47" s="27"/>
      <c r="E47" s="27"/>
      <c r="F47" s="28">
        <f t="shared" si="1"/>
        <v>37.29079866666667</v>
      </c>
    </row>
    <row r="48" spans="2:6" ht="14.25">
      <c r="B48" s="39" t="s">
        <v>71</v>
      </c>
      <c r="C48" s="10">
        <v>3.487117908787542</v>
      </c>
      <c r="D48" s="27"/>
      <c r="E48" s="27"/>
      <c r="F48" s="28">
        <f t="shared" si="1"/>
        <v>3.487117908787542</v>
      </c>
    </row>
    <row r="49" spans="2:6" ht="14.25">
      <c r="B49" s="39" t="s">
        <v>179</v>
      </c>
      <c r="C49" s="10">
        <v>2.6508603084864037</v>
      </c>
      <c r="D49" s="27"/>
      <c r="E49" s="27"/>
      <c r="F49" s="28">
        <f t="shared" si="1"/>
        <v>2.6508603084864037</v>
      </c>
    </row>
    <row r="50" spans="2:6" ht="12.75">
      <c r="B50" s="23" t="s">
        <v>127</v>
      </c>
      <c r="C50" s="10">
        <v>1.948</v>
      </c>
      <c r="D50" s="16"/>
      <c r="E50" s="16"/>
      <c r="F50" s="28">
        <f t="shared" si="1"/>
        <v>1.948</v>
      </c>
    </row>
    <row r="51" spans="2:6" ht="12.75">
      <c r="B51" s="23" t="s">
        <v>70</v>
      </c>
      <c r="C51" s="10">
        <v>18.658666666666665</v>
      </c>
      <c r="D51" s="16"/>
      <c r="E51" s="16"/>
      <c r="F51" s="28">
        <f t="shared" si="1"/>
        <v>18.658666666666665</v>
      </c>
    </row>
    <row r="52" spans="2:6" ht="12.75">
      <c r="B52" s="23" t="s">
        <v>177</v>
      </c>
      <c r="C52" s="10">
        <v>0.326</v>
      </c>
      <c r="D52" s="16"/>
      <c r="E52" s="16"/>
      <c r="F52" s="28">
        <f t="shared" si="1"/>
        <v>0.326</v>
      </c>
    </row>
    <row r="53" spans="2:6" ht="12.75">
      <c r="B53" s="3"/>
      <c r="C53" s="16"/>
      <c r="D53" s="16"/>
      <c r="E53" s="16"/>
      <c r="F53" s="16"/>
    </row>
    <row r="54" spans="2:6" ht="12.75">
      <c r="B54" s="3" t="s">
        <v>37</v>
      </c>
      <c r="C54" s="16">
        <f>SUM(C43:C53)</f>
        <v>161.3969007223591</v>
      </c>
      <c r="D54" s="16">
        <f>SUM(D43:D53)</f>
        <v>0</v>
      </c>
      <c r="E54" s="16">
        <f>SUM(E43:E53)</f>
        <v>0</v>
      </c>
      <c r="F54" s="16">
        <f>SUM(F43:F53)</f>
        <v>161.3969007223591</v>
      </c>
    </row>
    <row r="55" spans="2:6" ht="12.75">
      <c r="B55" s="2"/>
      <c r="C55" s="27"/>
      <c r="D55" s="27"/>
      <c r="E55" s="27"/>
      <c r="F55" s="27"/>
    </row>
    <row r="56" spans="2:6" ht="12.75">
      <c r="B56" s="3" t="s">
        <v>22</v>
      </c>
      <c r="C56" s="27"/>
      <c r="D56" s="27"/>
      <c r="E56" s="27"/>
      <c r="F56" s="27"/>
    </row>
    <row r="57" spans="2:6" ht="12.75">
      <c r="B57" s="3"/>
      <c r="C57" s="27"/>
      <c r="D57" s="27"/>
      <c r="E57" s="27"/>
      <c r="F57" s="27"/>
    </row>
    <row r="58" spans="2:6" ht="12.75">
      <c r="B58" s="3" t="s">
        <v>38</v>
      </c>
      <c r="C58" s="27"/>
      <c r="D58" s="27"/>
      <c r="E58" s="27"/>
      <c r="F58" s="27"/>
    </row>
    <row r="59" spans="2:6" ht="12.75">
      <c r="B59" s="2"/>
      <c r="C59" s="27"/>
      <c r="D59" s="27"/>
      <c r="E59" s="27"/>
      <c r="F59" s="27"/>
    </row>
    <row r="60" spans="2:6" ht="12.75">
      <c r="B60" s="3" t="s">
        <v>11</v>
      </c>
      <c r="C60" s="16">
        <f>+C54+C39+C31+C23+C9</f>
        <v>513.7585107223591</v>
      </c>
      <c r="D60" s="16">
        <f>+D54+D39+D31+D23+D9</f>
        <v>5.00671</v>
      </c>
      <c r="E60" s="16">
        <f>+E54+E39+E31+E23+E9</f>
        <v>0.62633</v>
      </c>
      <c r="F60" s="16">
        <f>+F54+F39+F31+F23+F9</f>
        <v>519.391550722359</v>
      </c>
    </row>
    <row r="61" spans="2:6" ht="12.75">
      <c r="B61" s="2"/>
      <c r="C61" s="27"/>
      <c r="D61" s="27"/>
      <c r="E61" s="27"/>
      <c r="F61" s="27"/>
    </row>
    <row r="62" spans="2:6" ht="12.75">
      <c r="B62" s="3" t="str">
        <f>'נספח 1'!B39</f>
        <v>סך הכל נכסים לסוף תקופה קודמת</v>
      </c>
      <c r="C62" s="16">
        <f>'נספח 1'!C39</f>
        <v>867665</v>
      </c>
      <c r="D62" s="16">
        <f>'נספח 1'!D39</f>
        <v>23874</v>
      </c>
      <c r="E62" s="16">
        <f>'נספח 1'!E39</f>
        <v>2881</v>
      </c>
      <c r="F62" s="16">
        <f>+C62+D62+E62</f>
        <v>894420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3"/>
  <sheetViews>
    <sheetView rightToLeft="1" zoomScalePageLayoutView="0" workbookViewId="0" topLeftCell="A118">
      <selection activeCell="C133" sqref="C133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</cols>
  <sheetData>
    <row r="2" spans="2:3" ht="12.75">
      <c r="B2" s="5" t="s">
        <v>16</v>
      </c>
      <c r="C2" s="1"/>
    </row>
    <row r="3" spans="2:3" ht="12.75">
      <c r="B3" s="13" t="str">
        <f>'נספח 1'!B3</f>
        <v>01/09/2022-31/08/2023</v>
      </c>
      <c r="C3" s="1"/>
    </row>
    <row r="4" spans="3:6" ht="12.75">
      <c r="C4" s="17" t="s">
        <v>28</v>
      </c>
      <c r="D4" s="17" t="s">
        <v>29</v>
      </c>
      <c r="E4" s="17" t="s">
        <v>31</v>
      </c>
      <c r="F4" s="17" t="s">
        <v>30</v>
      </c>
    </row>
    <row r="5" spans="2:6" ht="21" customHeight="1">
      <c r="B5" s="7" t="str">
        <f>'נספח 1'!B5</f>
        <v>קרן השתלמות למורים וגננות מקור - מאוחד</v>
      </c>
      <c r="C5" s="18" t="s">
        <v>6</v>
      </c>
      <c r="D5" s="18" t="s">
        <v>6</v>
      </c>
      <c r="E5" s="18" t="s">
        <v>6</v>
      </c>
      <c r="F5" s="18" t="s">
        <v>6</v>
      </c>
    </row>
    <row r="6" spans="2:6" ht="15">
      <c r="B6" s="7"/>
      <c r="C6" s="9"/>
      <c r="D6" s="9"/>
      <c r="E6" s="9"/>
      <c r="F6" s="9"/>
    </row>
    <row r="7" spans="2:6" ht="12.75">
      <c r="B7" s="3" t="s">
        <v>49</v>
      </c>
      <c r="C7" s="27"/>
      <c r="D7" s="10"/>
      <c r="E7" s="10"/>
      <c r="F7" s="10"/>
    </row>
    <row r="8" spans="2:7" ht="14.25">
      <c r="B8" s="39" t="s">
        <v>108</v>
      </c>
      <c r="C8" s="10">
        <v>2.359666666666667</v>
      </c>
      <c r="D8" s="27"/>
      <c r="E8" s="27"/>
      <c r="F8" s="28">
        <f aca="true" t="shared" si="0" ref="F8:F35">+C8+D8</f>
        <v>2.359666666666667</v>
      </c>
      <c r="G8" s="15"/>
    </row>
    <row r="9" spans="2:7" ht="12.75">
      <c r="B9" s="40" t="s">
        <v>102</v>
      </c>
      <c r="C9" s="10">
        <v>32.156666666666666</v>
      </c>
      <c r="D9" s="27"/>
      <c r="E9" s="27"/>
      <c r="F9" s="28">
        <f t="shared" si="0"/>
        <v>32.156666666666666</v>
      </c>
      <c r="G9" s="15"/>
    </row>
    <row r="10" spans="2:7" ht="12.75">
      <c r="B10" s="41" t="s">
        <v>80</v>
      </c>
      <c r="C10" s="10">
        <v>1.2686666666666666</v>
      </c>
      <c r="D10" s="27"/>
      <c r="E10" s="27"/>
      <c r="F10" s="28">
        <f t="shared" si="0"/>
        <v>1.2686666666666666</v>
      </c>
      <c r="G10" s="15"/>
    </row>
    <row r="11" spans="2:7" ht="14.25">
      <c r="B11" s="39" t="s">
        <v>63</v>
      </c>
      <c r="C11" s="10">
        <v>2.3579738333333333</v>
      </c>
      <c r="D11" s="27"/>
      <c r="E11" s="27"/>
      <c r="F11" s="28">
        <f t="shared" si="0"/>
        <v>2.3579738333333333</v>
      </c>
      <c r="G11" s="15"/>
    </row>
    <row r="12" spans="2:7" ht="14.25">
      <c r="B12" s="39" t="s">
        <v>130</v>
      </c>
      <c r="C12" s="10">
        <v>32.49377</v>
      </c>
      <c r="D12" s="27"/>
      <c r="E12" s="27"/>
      <c r="F12" s="28">
        <f t="shared" si="0"/>
        <v>32.49377</v>
      </c>
      <c r="G12" s="15"/>
    </row>
    <row r="13" spans="2:7" ht="14.25">
      <c r="B13" s="39" t="s">
        <v>60</v>
      </c>
      <c r="C13" s="10">
        <v>4.807213333333333</v>
      </c>
      <c r="D13" s="27"/>
      <c r="E13" s="27"/>
      <c r="F13" s="28">
        <f t="shared" si="0"/>
        <v>4.807213333333333</v>
      </c>
      <c r="G13" s="15"/>
    </row>
    <row r="14" spans="2:7" ht="14.25">
      <c r="B14" s="39" t="s">
        <v>126</v>
      </c>
      <c r="C14" s="10">
        <v>17.9146</v>
      </c>
      <c r="D14" s="27"/>
      <c r="E14" s="27"/>
      <c r="F14" s="28">
        <f t="shared" si="0"/>
        <v>17.9146</v>
      </c>
      <c r="G14" s="15"/>
    </row>
    <row r="15" spans="2:7" ht="12.75">
      <c r="B15" s="41" t="s">
        <v>174</v>
      </c>
      <c r="C15" s="10">
        <v>14.666666666666666</v>
      </c>
      <c r="D15" s="27"/>
      <c r="E15" s="27"/>
      <c r="F15" s="28">
        <f t="shared" si="0"/>
        <v>14.666666666666666</v>
      </c>
      <c r="G15" s="15"/>
    </row>
    <row r="16" spans="2:7" ht="14.25">
      <c r="B16" s="39" t="s">
        <v>115</v>
      </c>
      <c r="C16" s="10">
        <v>9.431326199999999</v>
      </c>
      <c r="D16" s="27"/>
      <c r="E16" s="27"/>
      <c r="F16" s="28">
        <f t="shared" si="0"/>
        <v>9.431326199999999</v>
      </c>
      <c r="G16" s="15"/>
    </row>
    <row r="17" spans="2:7" ht="14.25">
      <c r="B17" s="39" t="s">
        <v>77</v>
      </c>
      <c r="C17" s="10">
        <v>28.54088666666667</v>
      </c>
      <c r="D17" s="27"/>
      <c r="E17" s="27"/>
      <c r="F17" s="28">
        <f t="shared" si="0"/>
        <v>28.54088666666667</v>
      </c>
      <c r="G17" s="15"/>
    </row>
    <row r="18" spans="2:8" ht="14.25">
      <c r="B18" s="39" t="s">
        <v>85</v>
      </c>
      <c r="C18" s="10">
        <v>27.611356333333333</v>
      </c>
      <c r="D18" s="27"/>
      <c r="E18" s="27"/>
      <c r="F18" s="28">
        <f t="shared" si="0"/>
        <v>27.611356333333333</v>
      </c>
      <c r="G18" s="15"/>
      <c r="H18" s="2">
        <v>1000</v>
      </c>
    </row>
    <row r="19" spans="2:7" ht="14.25">
      <c r="B19" s="39" t="s">
        <v>151</v>
      </c>
      <c r="C19" s="10">
        <v>41.27322133333333</v>
      </c>
      <c r="D19" s="27"/>
      <c r="E19" s="27"/>
      <c r="F19" s="28">
        <f t="shared" si="0"/>
        <v>41.27322133333333</v>
      </c>
      <c r="G19" s="15"/>
    </row>
    <row r="20" spans="2:7" ht="14.25">
      <c r="B20" s="39" t="s">
        <v>96</v>
      </c>
      <c r="C20" s="10">
        <v>38.48612966666667</v>
      </c>
      <c r="D20" s="27"/>
      <c r="E20" s="27"/>
      <c r="F20" s="28">
        <f t="shared" si="0"/>
        <v>38.48612966666667</v>
      </c>
      <c r="G20" s="15"/>
    </row>
    <row r="21" spans="2:7" ht="14.25">
      <c r="B21" s="39" t="s">
        <v>68</v>
      </c>
      <c r="C21" s="10">
        <v>-0.7010000000000001</v>
      </c>
      <c r="D21" s="27"/>
      <c r="E21" s="27"/>
      <c r="F21" s="28">
        <f t="shared" si="0"/>
        <v>-0.7010000000000001</v>
      </c>
      <c r="G21" s="15"/>
    </row>
    <row r="22" spans="2:7" ht="14.25">
      <c r="B22" s="39" t="s">
        <v>181</v>
      </c>
      <c r="C22" s="10">
        <v>4.227857142857143</v>
      </c>
      <c r="D22" s="27"/>
      <c r="E22" s="27"/>
      <c r="F22" s="28">
        <f t="shared" si="0"/>
        <v>4.227857142857143</v>
      </c>
      <c r="G22" s="15"/>
    </row>
    <row r="23" spans="2:7" ht="14.25">
      <c r="B23" s="39" t="s">
        <v>76</v>
      </c>
      <c r="C23" s="10">
        <v>6.225433333333333</v>
      </c>
      <c r="D23" s="27"/>
      <c r="E23" s="27"/>
      <c r="F23" s="28">
        <f t="shared" si="0"/>
        <v>6.225433333333333</v>
      </c>
      <c r="G23" s="15"/>
    </row>
    <row r="24" spans="2:7" ht="14.25">
      <c r="B24" s="39" t="s">
        <v>66</v>
      </c>
      <c r="C24" s="10">
        <v>13.335419</v>
      </c>
      <c r="D24" s="27"/>
      <c r="E24" s="27"/>
      <c r="F24" s="28">
        <f t="shared" si="0"/>
        <v>13.335419</v>
      </c>
      <c r="G24" s="15"/>
    </row>
    <row r="25" spans="2:7" ht="14.25">
      <c r="B25" s="39" t="s">
        <v>143</v>
      </c>
      <c r="C25" s="10">
        <v>2.8020706666666664</v>
      </c>
      <c r="D25" s="27"/>
      <c r="E25" s="27"/>
      <c r="F25" s="28">
        <f t="shared" si="0"/>
        <v>2.8020706666666664</v>
      </c>
      <c r="G25" s="15"/>
    </row>
    <row r="26" spans="2:7" ht="14.25">
      <c r="B26" s="39" t="s">
        <v>152</v>
      </c>
      <c r="C26" s="10">
        <v>3.3913333333333333</v>
      </c>
      <c r="D26" s="27"/>
      <c r="E26" s="27"/>
      <c r="F26" s="28">
        <f t="shared" si="0"/>
        <v>3.3913333333333333</v>
      </c>
      <c r="G26" s="15"/>
    </row>
    <row r="27" spans="2:7" ht="14.25">
      <c r="B27" s="39" t="s">
        <v>144</v>
      </c>
      <c r="C27" s="10">
        <v>15.435163864060938</v>
      </c>
      <c r="D27" s="27"/>
      <c r="E27" s="27"/>
      <c r="F27" s="28">
        <f t="shared" si="0"/>
        <v>15.435163864060938</v>
      </c>
      <c r="G27" s="15"/>
    </row>
    <row r="28" spans="2:7" ht="14.25">
      <c r="B28" s="39" t="s">
        <v>92</v>
      </c>
      <c r="C28" s="10">
        <v>25.188659062499998</v>
      </c>
      <c r="D28" s="27"/>
      <c r="E28" s="27"/>
      <c r="F28" s="28">
        <f t="shared" si="0"/>
        <v>25.188659062499998</v>
      </c>
      <c r="G28" s="15"/>
    </row>
    <row r="29" spans="2:7" ht="14.25">
      <c r="B29" s="39" t="s">
        <v>145</v>
      </c>
      <c r="C29" s="10">
        <v>20.466923</v>
      </c>
      <c r="D29" s="27"/>
      <c r="E29" s="27"/>
      <c r="F29" s="28">
        <f t="shared" si="0"/>
        <v>20.466923</v>
      </c>
      <c r="G29" s="15"/>
    </row>
    <row r="30" spans="2:7" ht="14.25">
      <c r="B30" s="39" t="s">
        <v>132</v>
      </c>
      <c r="C30" s="10">
        <v>12.587000000000002</v>
      </c>
      <c r="D30" s="27"/>
      <c r="E30" s="27"/>
      <c r="F30" s="28">
        <f t="shared" si="0"/>
        <v>12.587000000000002</v>
      </c>
      <c r="G30" s="15"/>
    </row>
    <row r="31" spans="2:7" ht="14.25">
      <c r="B31" s="32" t="s">
        <v>86</v>
      </c>
      <c r="C31" s="10">
        <v>13.539666666666665</v>
      </c>
      <c r="D31" s="27"/>
      <c r="E31" s="27"/>
      <c r="F31" s="28">
        <f t="shared" si="0"/>
        <v>13.539666666666665</v>
      </c>
      <c r="G31" s="15"/>
    </row>
    <row r="32" spans="2:6" ht="14.25">
      <c r="B32" s="32" t="s">
        <v>95</v>
      </c>
      <c r="C32" s="10">
        <v>40.84</v>
      </c>
      <c r="D32" s="27"/>
      <c r="E32" s="27"/>
      <c r="F32" s="28">
        <f t="shared" si="0"/>
        <v>40.84</v>
      </c>
    </row>
    <row r="33" spans="2:6" ht="14.25">
      <c r="B33" s="32" t="s">
        <v>153</v>
      </c>
      <c r="C33" s="10">
        <v>10.24</v>
      </c>
      <c r="D33" s="27"/>
      <c r="E33" s="27"/>
      <c r="F33" s="28">
        <f t="shared" si="0"/>
        <v>10.24</v>
      </c>
    </row>
    <row r="34" spans="2:6" ht="14.25">
      <c r="B34" s="32" t="s">
        <v>103</v>
      </c>
      <c r="C34" s="10">
        <v>11.311333333333334</v>
      </c>
      <c r="D34" s="27"/>
      <c r="E34" s="27"/>
      <c r="F34" s="28">
        <f t="shared" si="0"/>
        <v>11.311333333333334</v>
      </c>
    </row>
    <row r="35" spans="2:6" ht="14.25">
      <c r="B35" s="32" t="s">
        <v>61</v>
      </c>
      <c r="C35" s="10">
        <v>1.028</v>
      </c>
      <c r="D35" s="27"/>
      <c r="E35" s="27"/>
      <c r="F35" s="28">
        <f t="shared" si="0"/>
        <v>1.028</v>
      </c>
    </row>
    <row r="36" spans="2:6" ht="14.25">
      <c r="B36" s="32"/>
      <c r="C36" s="10"/>
      <c r="D36" s="27"/>
      <c r="E36" s="27"/>
      <c r="F36" s="28"/>
    </row>
    <row r="37" spans="2:6" ht="14.25">
      <c r="B37" s="32"/>
      <c r="C37" s="29"/>
      <c r="D37" s="27"/>
      <c r="E37" s="27"/>
      <c r="F37" s="28"/>
    </row>
    <row r="38" spans="2:6" ht="12.75">
      <c r="B38" s="3" t="s">
        <v>40</v>
      </c>
      <c r="C38" s="16">
        <f>SUM(C8:C37)</f>
        <v>433.2860034360848</v>
      </c>
      <c r="D38" s="16">
        <f>SUM(D8:D29)</f>
        <v>0</v>
      </c>
      <c r="E38" s="16">
        <f>SUM(E8:E29)</f>
        <v>0</v>
      </c>
      <c r="F38" s="16">
        <f>SUM(F8:F37)</f>
        <v>433.2860034360848</v>
      </c>
    </row>
    <row r="39" spans="2:6" ht="12.75">
      <c r="B39" s="3"/>
      <c r="C39" s="27"/>
      <c r="D39" s="27"/>
      <c r="E39" s="27"/>
      <c r="F39" s="28"/>
    </row>
    <row r="40" spans="2:6" ht="12.75">
      <c r="B40" s="3" t="s">
        <v>50</v>
      </c>
      <c r="C40" s="27"/>
      <c r="D40" s="27"/>
      <c r="E40" s="27"/>
      <c r="F40" s="28"/>
    </row>
    <row r="41" spans="2:6" ht="14.25">
      <c r="B41" s="32" t="s">
        <v>97</v>
      </c>
      <c r="C41" s="10">
        <v>18.2677</v>
      </c>
      <c r="D41" s="27"/>
      <c r="E41" s="27"/>
      <c r="F41" s="28">
        <f>+C41+D41</f>
        <v>18.2677</v>
      </c>
    </row>
    <row r="42" spans="2:6" ht="14.25">
      <c r="B42" s="32" t="s">
        <v>154</v>
      </c>
      <c r="C42" s="10">
        <v>21.500735</v>
      </c>
      <c r="D42" s="27"/>
      <c r="E42" s="27"/>
      <c r="F42" s="28">
        <f aca="true" t="shared" si="1" ref="F42:F64">+C42+D42</f>
        <v>21.500735</v>
      </c>
    </row>
    <row r="43" spans="2:6" ht="14.25">
      <c r="B43" s="32" t="s">
        <v>146</v>
      </c>
      <c r="C43" s="10">
        <v>20.983191</v>
      </c>
      <c r="D43" s="27"/>
      <c r="E43" s="27"/>
      <c r="F43" s="28">
        <f t="shared" si="1"/>
        <v>20.983191</v>
      </c>
    </row>
    <row r="44" spans="2:6" ht="14.25">
      <c r="B44" s="32" t="s">
        <v>167</v>
      </c>
      <c r="C44" s="10">
        <v>27.110906333333332</v>
      </c>
      <c r="D44" s="27"/>
      <c r="E44" s="27"/>
      <c r="F44" s="28">
        <f t="shared" si="1"/>
        <v>27.110906333333332</v>
      </c>
    </row>
    <row r="45" spans="2:6" ht="14.25">
      <c r="B45" s="32" t="s">
        <v>110</v>
      </c>
      <c r="C45" s="10">
        <v>32.375544056437796</v>
      </c>
      <c r="D45" s="27"/>
      <c r="E45" s="27"/>
      <c r="F45" s="28">
        <f t="shared" si="1"/>
        <v>32.375544056437796</v>
      </c>
    </row>
    <row r="46" spans="2:6" ht="14.25">
      <c r="B46" s="32" t="s">
        <v>87</v>
      </c>
      <c r="C46" s="10">
        <v>13.084735871333335</v>
      </c>
      <c r="D46" s="27"/>
      <c r="E46" s="27"/>
      <c r="F46" s="28">
        <f t="shared" si="1"/>
        <v>13.084735871333335</v>
      </c>
    </row>
    <row r="47" spans="2:6" ht="14.25">
      <c r="B47" s="32" t="s">
        <v>75</v>
      </c>
      <c r="C47" s="10">
        <v>26.101482666666666</v>
      </c>
      <c r="D47" s="27"/>
      <c r="E47" s="27"/>
      <c r="F47" s="28">
        <f t="shared" si="1"/>
        <v>26.101482666666666</v>
      </c>
    </row>
    <row r="48" spans="2:6" ht="13.5" customHeight="1">
      <c r="B48" s="32" t="s">
        <v>168</v>
      </c>
      <c r="C48" s="10">
        <v>7.806961966666667</v>
      </c>
      <c r="D48" s="27"/>
      <c r="E48" s="27"/>
      <c r="F48" s="28">
        <f t="shared" si="1"/>
        <v>7.806961966666667</v>
      </c>
    </row>
    <row r="49" spans="2:6" ht="14.25">
      <c r="B49" s="32" t="s">
        <v>175</v>
      </c>
      <c r="C49" s="10">
        <v>9.660689000000001</v>
      </c>
      <c r="D49" s="27"/>
      <c r="E49" s="27"/>
      <c r="F49" s="28">
        <f t="shared" si="1"/>
        <v>9.660689000000001</v>
      </c>
    </row>
    <row r="50" spans="2:6" ht="14.25">
      <c r="B50" s="32" t="s">
        <v>155</v>
      </c>
      <c r="C50" s="10">
        <v>18.731888666666666</v>
      </c>
      <c r="D50" s="27"/>
      <c r="E50" s="27"/>
      <c r="F50" s="28">
        <f t="shared" si="1"/>
        <v>18.731888666666666</v>
      </c>
    </row>
    <row r="51" spans="2:6" ht="14.25">
      <c r="B51" s="32" t="s">
        <v>169</v>
      </c>
      <c r="C51" s="10">
        <v>22.395374694043472</v>
      </c>
      <c r="D51" s="27"/>
      <c r="E51" s="27"/>
      <c r="F51" s="28">
        <f t="shared" si="1"/>
        <v>22.395374694043472</v>
      </c>
    </row>
    <row r="52" spans="2:6" ht="14.25">
      <c r="B52" s="32" t="s">
        <v>121</v>
      </c>
      <c r="C52" s="10">
        <v>15.641757666666669</v>
      </c>
      <c r="D52" s="27"/>
      <c r="E52" s="27"/>
      <c r="F52" s="28">
        <f t="shared" si="1"/>
        <v>15.641757666666669</v>
      </c>
    </row>
    <row r="53" spans="2:6" ht="14.25">
      <c r="B53" s="32" t="s">
        <v>82</v>
      </c>
      <c r="C53" s="10">
        <v>23.189660826780834</v>
      </c>
      <c r="D53" s="27"/>
      <c r="E53" s="27"/>
      <c r="F53" s="28">
        <f t="shared" si="1"/>
        <v>23.189660826780834</v>
      </c>
    </row>
    <row r="54" spans="2:6" ht="14.25">
      <c r="B54" s="32" t="s">
        <v>94</v>
      </c>
      <c r="C54" s="10">
        <v>23.777910333333335</v>
      </c>
      <c r="D54" s="27"/>
      <c r="E54" s="27"/>
      <c r="F54" s="28">
        <f t="shared" si="1"/>
        <v>23.777910333333335</v>
      </c>
    </row>
    <row r="55" spans="2:6" ht="14.25">
      <c r="B55" s="32" t="s">
        <v>182</v>
      </c>
      <c r="C55" s="10">
        <v>6.551541818181819</v>
      </c>
      <c r="D55" s="27"/>
      <c r="E55" s="27"/>
      <c r="F55" s="28">
        <f t="shared" si="1"/>
        <v>6.551541818181819</v>
      </c>
    </row>
    <row r="56" spans="2:6" ht="14.25">
      <c r="B56" s="32" t="s">
        <v>98</v>
      </c>
      <c r="C56" s="10">
        <v>27.092049013333334</v>
      </c>
      <c r="D56" s="27"/>
      <c r="E56" s="27"/>
      <c r="F56" s="28">
        <f t="shared" si="1"/>
        <v>27.092049013333334</v>
      </c>
    </row>
    <row r="57" spans="2:6" ht="14.25">
      <c r="B57" s="32" t="s">
        <v>104</v>
      </c>
      <c r="C57" s="10">
        <v>43.88376399999999</v>
      </c>
      <c r="D57" s="27"/>
      <c r="E57" s="27"/>
      <c r="F57" s="28">
        <f t="shared" si="1"/>
        <v>43.88376399999999</v>
      </c>
    </row>
    <row r="58" spans="2:6" ht="14.25">
      <c r="B58" s="32" t="s">
        <v>170</v>
      </c>
      <c r="C58" s="10">
        <v>28.784704333333334</v>
      </c>
      <c r="D58" s="27"/>
      <c r="E58" s="27"/>
      <c r="F58" s="28">
        <f t="shared" si="1"/>
        <v>28.784704333333334</v>
      </c>
    </row>
    <row r="59" spans="2:6" ht="12.75">
      <c r="B59" s="12" t="s">
        <v>116</v>
      </c>
      <c r="C59" s="10">
        <v>15.014796666666667</v>
      </c>
      <c r="D59" s="27"/>
      <c r="E59" s="27"/>
      <c r="F59" s="28">
        <f t="shared" si="1"/>
        <v>15.014796666666667</v>
      </c>
    </row>
    <row r="60" spans="2:6" ht="12.75">
      <c r="B60" s="12" t="s">
        <v>137</v>
      </c>
      <c r="C60" s="10">
        <v>11.902003333333335</v>
      </c>
      <c r="D60" s="27"/>
      <c r="E60" s="27"/>
      <c r="F60" s="28">
        <f t="shared" si="1"/>
        <v>11.902003333333335</v>
      </c>
    </row>
    <row r="61" spans="2:6" ht="12.75">
      <c r="B61" s="12" t="s">
        <v>78</v>
      </c>
      <c r="C61" s="10">
        <v>14.180928</v>
      </c>
      <c r="D61" s="27"/>
      <c r="E61" s="27"/>
      <c r="F61" s="28">
        <f t="shared" si="1"/>
        <v>14.180928</v>
      </c>
    </row>
    <row r="62" spans="2:6" ht="12.75">
      <c r="B62" s="12" t="s">
        <v>147</v>
      </c>
      <c r="C62" s="10">
        <v>4.751636459999999</v>
      </c>
      <c r="D62" s="27"/>
      <c r="E62" s="27"/>
      <c r="F62" s="28">
        <f t="shared" si="1"/>
        <v>4.751636459999999</v>
      </c>
    </row>
    <row r="63" spans="2:6" ht="12.75">
      <c r="B63" s="12" t="s">
        <v>81</v>
      </c>
      <c r="C63" s="10">
        <v>18.97382199</v>
      </c>
      <c r="D63" s="27"/>
      <c r="E63" s="27"/>
      <c r="F63" s="28">
        <f t="shared" si="1"/>
        <v>18.97382199</v>
      </c>
    </row>
    <row r="64" spans="2:6" ht="12.75">
      <c r="B64" s="12" t="s">
        <v>111</v>
      </c>
      <c r="C64" s="10">
        <v>13.339776057333333</v>
      </c>
      <c r="D64" s="27"/>
      <c r="E64" s="27"/>
      <c r="F64" s="28">
        <f t="shared" si="1"/>
        <v>13.339776057333333</v>
      </c>
    </row>
    <row r="65" spans="2:6" ht="14.25">
      <c r="B65" s="32" t="s">
        <v>183</v>
      </c>
      <c r="C65" s="10">
        <v>6.937143333333332</v>
      </c>
      <c r="D65" s="27"/>
      <c r="E65" s="27"/>
      <c r="F65" s="28">
        <f aca="true" t="shared" si="2" ref="F65:F114">+C65+D65</f>
        <v>6.937143333333332</v>
      </c>
    </row>
    <row r="66" spans="2:6" ht="14.25">
      <c r="B66" s="32" t="s">
        <v>163</v>
      </c>
      <c r="C66" s="10">
        <v>3.762305666666667</v>
      </c>
      <c r="D66" s="27"/>
      <c r="E66" s="27"/>
      <c r="F66" s="28">
        <f t="shared" si="2"/>
        <v>3.762305666666667</v>
      </c>
    </row>
    <row r="67" spans="2:6" ht="14.25">
      <c r="B67" s="32" t="s">
        <v>156</v>
      </c>
      <c r="C67" s="10">
        <v>26.660685253666667</v>
      </c>
      <c r="D67" s="27"/>
      <c r="E67" s="27"/>
      <c r="F67" s="28">
        <f t="shared" si="2"/>
        <v>26.660685253666667</v>
      </c>
    </row>
    <row r="68" spans="2:6" ht="14.25">
      <c r="B68" s="32" t="s">
        <v>112</v>
      </c>
      <c r="C68" s="10">
        <v>27.58977826666667</v>
      </c>
      <c r="D68" s="27"/>
      <c r="E68" s="27"/>
      <c r="F68" s="28">
        <f t="shared" si="2"/>
        <v>27.58977826666667</v>
      </c>
    </row>
    <row r="69" spans="2:6" ht="14.25">
      <c r="B69" s="32" t="s">
        <v>133</v>
      </c>
      <c r="C69" s="10">
        <v>30.659385499313668</v>
      </c>
      <c r="D69" s="27"/>
      <c r="E69" s="27"/>
      <c r="F69" s="28">
        <f t="shared" si="2"/>
        <v>30.659385499313668</v>
      </c>
    </row>
    <row r="70" spans="2:6" ht="14.25">
      <c r="B70" s="32" t="s">
        <v>157</v>
      </c>
      <c r="C70" s="10">
        <v>15.243889666666666</v>
      </c>
      <c r="D70" s="27"/>
      <c r="E70" s="27"/>
      <c r="F70" s="28">
        <f t="shared" si="2"/>
        <v>15.243889666666666</v>
      </c>
    </row>
    <row r="71" spans="2:6" ht="14.25">
      <c r="B71" s="32" t="s">
        <v>99</v>
      </c>
      <c r="C71" s="10">
        <v>43.51142433333334</v>
      </c>
      <c r="D71" s="27"/>
      <c r="E71" s="27"/>
      <c r="F71" s="28">
        <f t="shared" si="2"/>
        <v>43.51142433333334</v>
      </c>
    </row>
    <row r="72" spans="2:6" ht="14.25">
      <c r="B72" s="32" t="s">
        <v>88</v>
      </c>
      <c r="C72" s="10">
        <v>11.899458419</v>
      </c>
      <c r="D72" s="27"/>
      <c r="E72" s="27"/>
      <c r="F72" s="28">
        <f t="shared" si="2"/>
        <v>11.899458419</v>
      </c>
    </row>
    <row r="73" spans="2:6" ht="14.25">
      <c r="B73" s="32" t="s">
        <v>105</v>
      </c>
      <c r="C73" s="10">
        <v>21.542109200000002</v>
      </c>
      <c r="D73" s="27"/>
      <c r="E73" s="27"/>
      <c r="F73" s="28">
        <f t="shared" si="2"/>
        <v>21.542109200000002</v>
      </c>
    </row>
    <row r="74" spans="2:6" ht="14.25">
      <c r="B74" s="32" t="s">
        <v>171</v>
      </c>
      <c r="C74" s="10">
        <v>43.912307999999996</v>
      </c>
      <c r="D74" s="27"/>
      <c r="E74" s="27"/>
      <c r="F74" s="28">
        <f t="shared" si="2"/>
        <v>43.912307999999996</v>
      </c>
    </row>
    <row r="75" spans="2:6" ht="14.25">
      <c r="B75" s="32" t="s">
        <v>138</v>
      </c>
      <c r="C75" s="10">
        <v>7.67740396</v>
      </c>
      <c r="D75" s="27"/>
      <c r="E75" s="27"/>
      <c r="F75" s="28">
        <f t="shared" si="2"/>
        <v>7.67740396</v>
      </c>
    </row>
    <row r="76" spans="2:6" ht="14.25">
      <c r="B76" s="32" t="s">
        <v>139</v>
      </c>
      <c r="C76" s="10">
        <v>42.961413666666665</v>
      </c>
      <c r="D76" s="27"/>
      <c r="E76" s="27"/>
      <c r="F76" s="28">
        <f t="shared" si="2"/>
        <v>42.961413666666665</v>
      </c>
    </row>
    <row r="77" spans="2:6" ht="14.25">
      <c r="B77" s="32" t="s">
        <v>148</v>
      </c>
      <c r="C77" s="10">
        <v>13.431729476666668</v>
      </c>
      <c r="D77" s="27"/>
      <c r="E77" s="27"/>
      <c r="F77" s="28">
        <f t="shared" si="2"/>
        <v>13.431729476666668</v>
      </c>
    </row>
    <row r="78" spans="2:6" ht="14.25">
      <c r="B78" s="32" t="s">
        <v>128</v>
      </c>
      <c r="C78" s="10">
        <v>15.298470514468942</v>
      </c>
      <c r="D78" s="27"/>
      <c r="E78" s="27"/>
      <c r="F78" s="28">
        <f t="shared" si="2"/>
        <v>15.298470514468942</v>
      </c>
    </row>
    <row r="79" spans="2:6" ht="14.25">
      <c r="B79" s="32" t="s">
        <v>172</v>
      </c>
      <c r="C79" s="10">
        <v>35.784740559999996</v>
      </c>
      <c r="D79" s="27"/>
      <c r="E79" s="27"/>
      <c r="F79" s="28">
        <f t="shared" si="2"/>
        <v>35.784740559999996</v>
      </c>
    </row>
    <row r="80" spans="2:6" ht="14.25">
      <c r="B80" s="32" t="s">
        <v>140</v>
      </c>
      <c r="C80" s="10">
        <v>1.8869778333333334</v>
      </c>
      <c r="D80" s="27"/>
      <c r="E80" s="27"/>
      <c r="F80" s="28">
        <f t="shared" si="2"/>
        <v>1.8869778333333334</v>
      </c>
    </row>
    <row r="81" spans="2:6" ht="14.25">
      <c r="B81" s="32" t="s">
        <v>178</v>
      </c>
      <c r="C81" s="10">
        <v>0.4809554</v>
      </c>
      <c r="D81" s="27"/>
      <c r="E81" s="27"/>
      <c r="F81" s="28">
        <f t="shared" si="2"/>
        <v>0.4809554</v>
      </c>
    </row>
    <row r="82" spans="2:6" ht="14.25">
      <c r="B82" s="32" t="s">
        <v>100</v>
      </c>
      <c r="C82" s="10">
        <v>20.16174</v>
      </c>
      <c r="D82" s="27"/>
      <c r="E82" s="27"/>
      <c r="F82" s="28">
        <f t="shared" si="2"/>
        <v>20.16174</v>
      </c>
    </row>
    <row r="83" spans="2:6" ht="14.25">
      <c r="B83" s="32" t="s">
        <v>176</v>
      </c>
      <c r="C83" s="10">
        <v>5.256642666666668</v>
      </c>
      <c r="D83" s="27"/>
      <c r="E83" s="27"/>
      <c r="F83" s="28">
        <f t="shared" si="2"/>
        <v>5.256642666666668</v>
      </c>
    </row>
    <row r="84" spans="2:6" ht="14.25">
      <c r="B84" s="32" t="s">
        <v>164</v>
      </c>
      <c r="C84" s="10">
        <v>52.74720033333333</v>
      </c>
      <c r="D84" s="27"/>
      <c r="E84" s="27"/>
      <c r="F84" s="28">
        <f t="shared" si="2"/>
        <v>52.74720033333333</v>
      </c>
    </row>
    <row r="85" spans="2:6" ht="14.25">
      <c r="B85" s="32" t="s">
        <v>89</v>
      </c>
      <c r="C85" s="10">
        <v>35.368730666666664</v>
      </c>
      <c r="D85" s="27"/>
      <c r="E85" s="27"/>
      <c r="F85" s="28">
        <f t="shared" si="2"/>
        <v>35.368730666666664</v>
      </c>
    </row>
    <row r="86" spans="2:6" ht="15.75" customHeight="1">
      <c r="B86" s="32" t="s">
        <v>122</v>
      </c>
      <c r="C86" s="10">
        <v>33.614909</v>
      </c>
      <c r="D86" s="27"/>
      <c r="E86" s="27"/>
      <c r="F86" s="28">
        <f t="shared" si="2"/>
        <v>33.614909</v>
      </c>
    </row>
    <row r="87" spans="2:6" ht="15.75" customHeight="1">
      <c r="B87" s="32" t="s">
        <v>117</v>
      </c>
      <c r="C87" s="10">
        <v>15.277135999999999</v>
      </c>
      <c r="D87" s="27"/>
      <c r="E87" s="27"/>
      <c r="F87" s="28">
        <f t="shared" si="2"/>
        <v>15.277135999999999</v>
      </c>
    </row>
    <row r="88" spans="2:6" ht="15.75" customHeight="1">
      <c r="B88" s="32" t="s">
        <v>134</v>
      </c>
      <c r="C88" s="10">
        <v>17.10234339666667</v>
      </c>
      <c r="D88" s="27"/>
      <c r="E88" s="27"/>
      <c r="F88" s="28">
        <f t="shared" si="2"/>
        <v>17.10234339666667</v>
      </c>
    </row>
    <row r="89" spans="2:6" ht="15.75" customHeight="1">
      <c r="B89" s="32" t="s">
        <v>123</v>
      </c>
      <c r="C89" s="10">
        <v>11.261604333333334</v>
      </c>
      <c r="D89" s="27"/>
      <c r="E89" s="27"/>
      <c r="F89" s="28">
        <f t="shared" si="2"/>
        <v>11.261604333333334</v>
      </c>
    </row>
    <row r="90" spans="2:6" ht="14.25">
      <c r="B90" s="32" t="s">
        <v>118</v>
      </c>
      <c r="C90" s="42">
        <v>31.047867033333333</v>
      </c>
      <c r="D90" s="27"/>
      <c r="E90" s="27"/>
      <c r="F90" s="28">
        <f t="shared" si="2"/>
        <v>31.047867033333333</v>
      </c>
    </row>
    <row r="91" spans="2:6" ht="14.25">
      <c r="B91" s="32" t="s">
        <v>158</v>
      </c>
      <c r="C91" s="42">
        <v>19.790252737999996</v>
      </c>
      <c r="D91" s="27"/>
      <c r="E91" s="27"/>
      <c r="F91" s="28">
        <f t="shared" si="2"/>
        <v>19.790252737999996</v>
      </c>
    </row>
    <row r="92" spans="2:6" ht="14.25">
      <c r="B92" s="32" t="s">
        <v>135</v>
      </c>
      <c r="C92" s="42">
        <v>26.031932923</v>
      </c>
      <c r="D92" s="27"/>
      <c r="E92" s="27"/>
      <c r="F92" s="28">
        <f t="shared" si="2"/>
        <v>26.031932923</v>
      </c>
    </row>
    <row r="93" spans="2:6" ht="14.25">
      <c r="B93" s="32" t="s">
        <v>124</v>
      </c>
      <c r="C93" s="42">
        <v>12.583730375500002</v>
      </c>
      <c r="D93" s="27"/>
      <c r="E93" s="27"/>
      <c r="F93" s="28">
        <f t="shared" si="2"/>
        <v>12.583730375500002</v>
      </c>
    </row>
    <row r="94" spans="2:6" ht="14.25">
      <c r="B94" s="32" t="s">
        <v>141</v>
      </c>
      <c r="C94" s="42">
        <v>24.928592462333334</v>
      </c>
      <c r="D94" s="27"/>
      <c r="E94" s="27"/>
      <c r="F94" s="28">
        <f t="shared" si="2"/>
        <v>24.928592462333334</v>
      </c>
    </row>
    <row r="95" spans="2:6" ht="14.25">
      <c r="B95" s="32" t="s">
        <v>125</v>
      </c>
      <c r="C95" s="42">
        <v>19.384489000000002</v>
      </c>
      <c r="D95" s="27"/>
      <c r="E95" s="27"/>
      <c r="F95" s="28">
        <f t="shared" si="2"/>
        <v>19.384489000000002</v>
      </c>
    </row>
    <row r="96" spans="2:6" ht="14.25">
      <c r="B96" s="32" t="s">
        <v>159</v>
      </c>
      <c r="C96" s="42">
        <v>12.698895666666665</v>
      </c>
      <c r="D96" s="27"/>
      <c r="E96" s="27"/>
      <c r="F96" s="28">
        <f t="shared" si="2"/>
        <v>12.698895666666665</v>
      </c>
    </row>
    <row r="97" spans="2:6" ht="14.25">
      <c r="B97" s="32" t="s">
        <v>90</v>
      </c>
      <c r="C97" s="42">
        <v>27.537711696129165</v>
      </c>
      <c r="D97" s="27"/>
      <c r="E97" s="27"/>
      <c r="F97" s="28">
        <f t="shared" si="2"/>
        <v>27.537711696129165</v>
      </c>
    </row>
    <row r="98" spans="2:6" ht="14.25">
      <c r="B98" s="32" t="s">
        <v>73</v>
      </c>
      <c r="C98" s="42">
        <v>19.989290333644767</v>
      </c>
      <c r="D98" s="27"/>
      <c r="E98" s="27"/>
      <c r="F98" s="28">
        <f t="shared" si="2"/>
        <v>19.989290333644767</v>
      </c>
    </row>
    <row r="99" spans="2:6" ht="14.25">
      <c r="B99" s="32" t="s">
        <v>165</v>
      </c>
      <c r="C99" s="42">
        <v>11.727263251</v>
      </c>
      <c r="D99" s="27"/>
      <c r="E99" s="27"/>
      <c r="F99" s="28">
        <f t="shared" si="2"/>
        <v>11.727263251</v>
      </c>
    </row>
    <row r="100" spans="2:6" ht="14.25">
      <c r="B100" s="32" t="s">
        <v>160</v>
      </c>
      <c r="C100" s="42">
        <v>11.035453610319154</v>
      </c>
      <c r="D100" s="27"/>
      <c r="E100" s="27"/>
      <c r="F100" s="28">
        <f t="shared" si="2"/>
        <v>11.035453610319154</v>
      </c>
    </row>
    <row r="101" spans="2:6" ht="14.25">
      <c r="B101" s="32" t="s">
        <v>161</v>
      </c>
      <c r="C101" s="42">
        <v>3.655792541365713</v>
      </c>
      <c r="D101" s="27"/>
      <c r="E101" s="27"/>
      <c r="F101" s="28">
        <f t="shared" si="2"/>
        <v>3.655792541365713</v>
      </c>
    </row>
    <row r="102" spans="2:6" ht="14.25">
      <c r="B102" s="32" t="s">
        <v>74</v>
      </c>
      <c r="C102" s="42">
        <v>17.208374204197085</v>
      </c>
      <c r="D102" s="27"/>
      <c r="E102" s="27"/>
      <c r="F102" s="28">
        <f t="shared" si="2"/>
        <v>17.208374204197085</v>
      </c>
    </row>
    <row r="103" spans="2:6" ht="14.25">
      <c r="B103" s="32" t="s">
        <v>65</v>
      </c>
      <c r="C103" s="42">
        <v>14.776635666666667</v>
      </c>
      <c r="D103" s="27"/>
      <c r="E103" s="27"/>
      <c r="F103" s="28">
        <f t="shared" si="2"/>
        <v>14.776635666666667</v>
      </c>
    </row>
    <row r="104" spans="2:6" ht="14.25">
      <c r="B104" s="32" t="s">
        <v>72</v>
      </c>
      <c r="C104" s="42">
        <v>15.431324113607861</v>
      </c>
      <c r="D104" s="27"/>
      <c r="E104" s="27"/>
      <c r="F104" s="28">
        <f t="shared" si="2"/>
        <v>15.431324113607861</v>
      </c>
    </row>
    <row r="105" spans="2:6" ht="14.25">
      <c r="B105" s="32" t="s">
        <v>149</v>
      </c>
      <c r="C105" s="42">
        <v>9.526227333333335</v>
      </c>
      <c r="D105" s="27"/>
      <c r="E105" s="27"/>
      <c r="F105" s="28">
        <f t="shared" si="2"/>
        <v>9.526227333333335</v>
      </c>
    </row>
    <row r="106" spans="2:6" ht="14.25">
      <c r="B106" s="32" t="s">
        <v>150</v>
      </c>
      <c r="C106" s="42">
        <v>16.930274333333333</v>
      </c>
      <c r="D106" s="27"/>
      <c r="E106" s="27"/>
      <c r="F106" s="28">
        <f t="shared" si="2"/>
        <v>16.930274333333333</v>
      </c>
    </row>
    <row r="107" spans="2:6" ht="14.25">
      <c r="B107" s="32" t="s">
        <v>113</v>
      </c>
      <c r="C107" s="42">
        <v>16.897820999999997</v>
      </c>
      <c r="D107" s="27"/>
      <c r="E107" s="27"/>
      <c r="F107" s="28">
        <f t="shared" si="2"/>
        <v>16.897820999999997</v>
      </c>
    </row>
    <row r="108" spans="2:6" ht="14.25">
      <c r="B108" s="32" t="s">
        <v>119</v>
      </c>
      <c r="C108" s="42">
        <v>25.325087800000002</v>
      </c>
      <c r="D108" s="27"/>
      <c r="E108" s="27"/>
      <c r="F108" s="28">
        <f t="shared" si="2"/>
        <v>25.325087800000002</v>
      </c>
    </row>
    <row r="109" spans="2:6" ht="14.25">
      <c r="B109" s="32" t="s">
        <v>91</v>
      </c>
      <c r="C109" s="42">
        <v>14.038686000000002</v>
      </c>
      <c r="D109" s="27"/>
      <c r="E109" s="27"/>
      <c r="F109" s="28">
        <f t="shared" si="2"/>
        <v>14.038686000000002</v>
      </c>
    </row>
    <row r="110" spans="2:6" ht="14.25">
      <c r="B110" s="32" t="s">
        <v>106</v>
      </c>
      <c r="C110" s="42">
        <v>36.187723</v>
      </c>
      <c r="D110" s="27"/>
      <c r="E110" s="27"/>
      <c r="F110" s="28">
        <f t="shared" si="2"/>
        <v>36.187723</v>
      </c>
    </row>
    <row r="111" spans="2:6" ht="14.25">
      <c r="B111" s="32" t="s">
        <v>173</v>
      </c>
      <c r="C111" s="42">
        <v>9.125700333333334</v>
      </c>
      <c r="D111" s="27"/>
      <c r="E111" s="27"/>
      <c r="F111" s="28">
        <f t="shared" si="2"/>
        <v>9.125700333333334</v>
      </c>
    </row>
    <row r="112" spans="2:6" ht="14.25">
      <c r="B112" s="32" t="s">
        <v>101</v>
      </c>
      <c r="C112" s="42">
        <v>11.376633966666667</v>
      </c>
      <c r="D112" s="27"/>
      <c r="E112" s="27"/>
      <c r="F112" s="28">
        <f t="shared" si="2"/>
        <v>11.376633966666667</v>
      </c>
    </row>
    <row r="113" spans="2:6" ht="14.25">
      <c r="B113" s="32" t="s">
        <v>142</v>
      </c>
      <c r="C113" s="42">
        <v>27.950373</v>
      </c>
      <c r="D113" s="27"/>
      <c r="E113" s="27"/>
      <c r="F113" s="28">
        <f t="shared" si="2"/>
        <v>27.950373</v>
      </c>
    </row>
    <row r="114" spans="2:6" ht="14.25">
      <c r="B114" s="32" t="s">
        <v>64</v>
      </c>
      <c r="C114" s="42">
        <v>12.862373333333332</v>
      </c>
      <c r="D114" s="27"/>
      <c r="E114" s="27"/>
      <c r="F114" s="28">
        <f t="shared" si="2"/>
        <v>12.862373333333332</v>
      </c>
    </row>
    <row r="115" spans="2:6" ht="14.25">
      <c r="B115" s="32"/>
      <c r="C115" s="42"/>
      <c r="D115" s="27"/>
      <c r="E115" s="27"/>
      <c r="F115" s="28"/>
    </row>
    <row r="116" spans="2:6" ht="14.25">
      <c r="B116" s="32"/>
      <c r="C116" s="27"/>
      <c r="D116" s="27"/>
      <c r="E116" s="27"/>
      <c r="F116" s="28"/>
    </row>
    <row r="117" spans="2:6" ht="12.75">
      <c r="B117" s="3" t="s">
        <v>41</v>
      </c>
      <c r="C117" s="16">
        <f>SUM(C41:C116)</f>
        <v>1453.1825509163236</v>
      </c>
      <c r="D117" s="16">
        <f>SUM(D41:D65)</f>
        <v>0</v>
      </c>
      <c r="E117" s="16">
        <f>SUM(E41:E65)</f>
        <v>0</v>
      </c>
      <c r="F117" s="16">
        <f>SUM(F41:F116)</f>
        <v>1453.1825509163236</v>
      </c>
    </row>
    <row r="118" spans="2:6" ht="12.75">
      <c r="B118" s="12"/>
      <c r="C118" s="27"/>
      <c r="D118" s="27"/>
      <c r="E118" s="27"/>
      <c r="F118" s="28"/>
    </row>
    <row r="119" spans="2:6" ht="12.75">
      <c r="B119" s="6" t="s">
        <v>27</v>
      </c>
      <c r="C119" s="16">
        <f>+C38+C117</f>
        <v>1886.4685543524083</v>
      </c>
      <c r="D119" s="16">
        <f>+D38+D117</f>
        <v>0</v>
      </c>
      <c r="E119" s="16">
        <f>+E38+E117</f>
        <v>0</v>
      </c>
      <c r="F119" s="16">
        <f>+F38+F117</f>
        <v>1886.4685543524083</v>
      </c>
    </row>
    <row r="120" spans="2:6" ht="12.75">
      <c r="B120" s="2"/>
      <c r="C120" s="27"/>
      <c r="D120" s="27"/>
      <c r="E120" s="27"/>
      <c r="F120" s="27"/>
    </row>
    <row r="121" spans="2:6" ht="12.75">
      <c r="B121" s="3" t="s">
        <v>23</v>
      </c>
      <c r="C121" s="27"/>
      <c r="D121" s="27"/>
      <c r="E121" s="27"/>
      <c r="F121" s="27"/>
    </row>
    <row r="122" spans="2:6" ht="12.75">
      <c r="B122" s="6" t="s">
        <v>4</v>
      </c>
      <c r="C122" s="27"/>
      <c r="D122" s="27"/>
      <c r="E122" s="27"/>
      <c r="F122" s="27"/>
    </row>
    <row r="123" spans="2:6" ht="12.75">
      <c r="B123" s="2"/>
      <c r="C123" s="27"/>
      <c r="D123" s="27"/>
      <c r="E123" s="27"/>
      <c r="F123" s="27"/>
    </row>
    <row r="124" spans="2:6" ht="12.75">
      <c r="B124" s="3" t="s">
        <v>51</v>
      </c>
      <c r="C124" s="27"/>
      <c r="D124" s="27"/>
      <c r="E124" s="27"/>
      <c r="F124" s="27"/>
    </row>
    <row r="125" spans="2:6" ht="12.75">
      <c r="B125" s="6" t="s">
        <v>12</v>
      </c>
      <c r="C125" s="27"/>
      <c r="D125" s="27"/>
      <c r="E125" s="27"/>
      <c r="F125" s="27"/>
    </row>
    <row r="126" spans="2:6" ht="12.75">
      <c r="B126" s="2"/>
      <c r="C126" s="27"/>
      <c r="D126" s="27"/>
      <c r="E126" s="27"/>
      <c r="F126" s="27"/>
    </row>
    <row r="127" spans="2:6" ht="12.75">
      <c r="B127" s="3" t="s">
        <v>13</v>
      </c>
      <c r="C127" s="27"/>
      <c r="D127" s="27"/>
      <c r="E127" s="27"/>
      <c r="F127" s="27"/>
    </row>
    <row r="128" spans="2:6" ht="12.75">
      <c r="B128" s="3" t="s">
        <v>24</v>
      </c>
      <c r="C128" s="43">
        <v>11.762697574630137</v>
      </c>
      <c r="D128" s="10"/>
      <c r="E128" s="10"/>
      <c r="F128" s="27">
        <f>+C128+D128+E128</f>
        <v>11.762697574630137</v>
      </c>
    </row>
    <row r="129" spans="2:6" ht="12.75">
      <c r="B129" s="6" t="s">
        <v>25</v>
      </c>
      <c r="C129" s="10">
        <v>142.29116401381373</v>
      </c>
      <c r="D129" s="10">
        <v>1.6810202195369863</v>
      </c>
      <c r="E129" s="10">
        <v>0.19192544876712328</v>
      </c>
      <c r="F129" s="27">
        <f>+C129+D129+E129</f>
        <v>144.16410968211784</v>
      </c>
    </row>
    <row r="130" spans="2:6" ht="12.75">
      <c r="B130" s="3" t="s">
        <v>52</v>
      </c>
      <c r="C130" s="16">
        <f>SUM(C128:C129)</f>
        <v>154.05386158844385</v>
      </c>
      <c r="D130" s="16">
        <f>SUM(D128:D129)</f>
        <v>1.6810202195369863</v>
      </c>
      <c r="E130" s="16">
        <f>SUM(E128:E129)</f>
        <v>0.19192544876712328</v>
      </c>
      <c r="F130" s="16">
        <f>SUM(F128:F129)</f>
        <v>155.92680725674796</v>
      </c>
    </row>
    <row r="131" spans="2:6" ht="12.75">
      <c r="B131" s="6"/>
      <c r="C131" s="27"/>
      <c r="D131" s="27"/>
      <c r="E131" s="27"/>
      <c r="F131" s="27"/>
    </row>
    <row r="132" spans="2:6" ht="12.75">
      <c r="B132" s="6" t="s">
        <v>107</v>
      </c>
      <c r="C132" s="27"/>
      <c r="D132" s="27"/>
      <c r="E132" s="27"/>
      <c r="F132" s="27"/>
    </row>
    <row r="133" spans="2:6" ht="12.75">
      <c r="B133" s="6" t="s">
        <v>53</v>
      </c>
      <c r="C133" s="10">
        <v>5.925803440593885</v>
      </c>
      <c r="D133" s="10">
        <v>-0.036157455273666976</v>
      </c>
      <c r="E133" s="10">
        <v>0.303187109945081</v>
      </c>
      <c r="F133" s="10">
        <f>+C133+D133+E133</f>
        <v>6.192833095265299</v>
      </c>
    </row>
    <row r="134" spans="2:6" ht="12.75">
      <c r="B134" s="6" t="s">
        <v>54</v>
      </c>
      <c r="C134" s="10">
        <v>432.97705568289575</v>
      </c>
      <c r="D134" s="10">
        <v>14.697006575945204</v>
      </c>
      <c r="E134" s="10">
        <v>0.015867396438356166</v>
      </c>
      <c r="F134" s="27">
        <f>+C134+D134+E134</f>
        <v>447.6899296552793</v>
      </c>
    </row>
    <row r="135" spans="2:6" ht="12.75">
      <c r="B135" s="6" t="s">
        <v>55</v>
      </c>
      <c r="C135" s="16">
        <f>SUM(C133:C134)</f>
        <v>438.90285912348963</v>
      </c>
      <c r="D135" s="16">
        <f>SUM(D133:D134)</f>
        <v>14.660849120671537</v>
      </c>
      <c r="E135" s="16">
        <f>SUM(E133:E134)</f>
        <v>0.3190545063834372</v>
      </c>
      <c r="F135" s="16">
        <f>+D135+C135</f>
        <v>453.56370824416115</v>
      </c>
    </row>
    <row r="136" spans="2:6" ht="12.75">
      <c r="B136" s="6"/>
      <c r="C136" s="16"/>
      <c r="D136" s="16"/>
      <c r="E136" s="16"/>
      <c r="F136" s="16"/>
    </row>
    <row r="137" spans="2:6" ht="12.75">
      <c r="B137" s="6" t="s">
        <v>14</v>
      </c>
      <c r="C137" s="16">
        <f>+C135+C130+C119</f>
        <v>2479.425275064342</v>
      </c>
      <c r="D137" s="16">
        <f>+D135+D130+D119</f>
        <v>16.341869340208525</v>
      </c>
      <c r="E137" s="16">
        <f>+E135+E130+E119</f>
        <v>0.5109799551505605</v>
      </c>
      <c r="F137" s="16">
        <f>+F135+F119+F130</f>
        <v>2495.9590698533175</v>
      </c>
    </row>
    <row r="138" spans="2:6" ht="12.75">
      <c r="B138" s="6"/>
      <c r="C138" s="16"/>
      <c r="D138" s="16"/>
      <c r="E138" s="16"/>
      <c r="F138" s="16"/>
    </row>
    <row r="139" spans="2:6" ht="12.75">
      <c r="B139" s="3" t="str">
        <f>'נספח 1'!B39</f>
        <v>סך הכל נכסים לסוף תקופה קודמת</v>
      </c>
      <c r="C139" s="16">
        <f>'נספח 1'!C39</f>
        <v>867665</v>
      </c>
      <c r="D139" s="16">
        <f>'נספח 1'!D39</f>
        <v>23874</v>
      </c>
      <c r="E139" s="16">
        <f>'נספח 1'!E39</f>
        <v>2881</v>
      </c>
      <c r="F139" s="16">
        <f>'נספח 1'!F39</f>
        <v>894420</v>
      </c>
    </row>
    <row r="143" ht="12.75">
      <c r="H143" s="3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Revital Kibel</cp:lastModifiedBy>
  <cp:lastPrinted>2015-05-12T13:19:18Z</cp:lastPrinted>
  <dcterms:created xsi:type="dcterms:W3CDTF">2008-07-07T10:52:30Z</dcterms:created>
  <dcterms:modified xsi:type="dcterms:W3CDTF">2023-11-07T15:44:03Z</dcterms:modified>
  <cp:category/>
  <cp:version/>
  <cp:contentType/>
  <cp:contentStatus/>
</cp:coreProperties>
</file>