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80" activeTab="0"/>
  </bookViews>
  <sheets>
    <sheet name="נספח 1" sheetId="1" r:id="rId1"/>
    <sheet name="נספח 2" sheetId="2" r:id="rId2"/>
    <sheet name="נספח 3" sheetId="3" r:id="rId3"/>
  </sheets>
  <definedNames>
    <definedName name="_xlnm.Print_Area" localSheetId="1">'נספח 2'!$A:$C</definedName>
  </definedNames>
  <calcPr fullCalcOnLoad="1"/>
</workbook>
</file>

<file path=xl/sharedStrings.xml><?xml version="1.0" encoding="utf-8"?>
<sst xmlns="http://schemas.openxmlformats.org/spreadsheetml/2006/main" count="159" uniqueCount="132">
  <si>
    <t xml:space="preserve">סך עמלות ברוקראז לצדדים שאינם קשורים </t>
  </si>
  <si>
    <t xml:space="preserve">סך עמלות ברוקראז לצדדים  קשורים </t>
  </si>
  <si>
    <t xml:space="preserve">סך עמלות קסטודיאן לצדדים קשורים </t>
  </si>
  <si>
    <t xml:space="preserve">סך עמלות קסטודיאן לצדדים שאינם קשורים </t>
  </si>
  <si>
    <t>סך תשלומים למנהלי תיקים ישראליים</t>
  </si>
  <si>
    <t>סך הכול הוצאות ישירות</t>
  </si>
  <si>
    <t>אלפי ₪</t>
  </si>
  <si>
    <t xml:space="preserve">ברוקראז- עמלות קנייה ומכירה בגין ביצוע עסקאות בנירות  ערך סחרים </t>
  </si>
  <si>
    <t>סך עמלות ברוקראז</t>
  </si>
  <si>
    <t>עמלות קסטודיאן</t>
  </si>
  <si>
    <t>סך עמלות קסטודיאן</t>
  </si>
  <si>
    <t>סך הוצאות הנובעות מהשקעה בזכויות במקרקעין</t>
  </si>
  <si>
    <t>סך כל עמלות והוצאות</t>
  </si>
  <si>
    <t>סך תשלומים למנהלי תיקים זרים</t>
  </si>
  <si>
    <t>תשלום בגין השקעה בקרן נאמנות</t>
  </si>
  <si>
    <t>סך הכול עמלות ניהול חיצוני</t>
  </si>
  <si>
    <t>הבנק הבינלאומי הראשון לישראל בע"מ</t>
  </si>
  <si>
    <t>נספח 3 - פירוט עמלות ווניהול חיצוני לתקופה :</t>
  </si>
  <si>
    <t>נספח 2 - פירוט עמלות והוצאות לתקופה :</t>
  </si>
  <si>
    <t>נספח 1 - סך התשלומים ששולמו בגין כל סוג של הוצאה ישירה לתקופה :</t>
  </si>
  <si>
    <t>צדדים קשורים :</t>
  </si>
  <si>
    <t>צדדים שאינם קשורים :</t>
  </si>
  <si>
    <t>הוצאה הנובעת מהשקעה בניירות ערך לא סחירים או ממתן הלוואה :</t>
  </si>
  <si>
    <t>הוצאה הנובעת מהשקעה בזכויות במקרקעין :</t>
  </si>
  <si>
    <r>
      <t>תשלום למנהל תיקים ישראל</t>
    </r>
    <r>
      <rPr>
        <sz val="10"/>
        <rFont val="Arial"/>
        <family val="0"/>
      </rPr>
      <t>י :</t>
    </r>
  </si>
  <si>
    <t>א. קרן נאמנות ישראלית :</t>
  </si>
  <si>
    <t>ב. קרן חוץ :</t>
  </si>
  <si>
    <t>סך הוצאות הנובעות מהשקעה בניירות ערך לא סחירים וממתן הלוואה</t>
  </si>
  <si>
    <t>סך התשלומים הנובעים מהשקעה בקרנות השקעה</t>
  </si>
  <si>
    <t>כללי</t>
  </si>
  <si>
    <t>הלכתי</t>
  </si>
  <si>
    <t>סה"כ</t>
  </si>
  <si>
    <t>ללא מניות</t>
  </si>
  <si>
    <t>סך הכל נכסים לסוף תקופה קודמת</t>
  </si>
  <si>
    <t>סה"כ עמלות קניה ומכירה</t>
  </si>
  <si>
    <t>סה"כ עמלות קסטודיאן</t>
  </si>
  <si>
    <t>סה"כ השקעות לא סחירות</t>
  </si>
  <si>
    <t>סך הוצאות הנובעות מהשקעה בניירות ערך לא סחירים שאינם לצורך מימון פרויקטים לתשתיות</t>
  </si>
  <si>
    <t>סך הוצאות הנובעות ממימון פרוייקטים לתשתיות</t>
  </si>
  <si>
    <t>סך הוצאות הנובעות מהשקעה בזכויות מקרקעין</t>
  </si>
  <si>
    <t>סה"כ עמלות ניהול חיצוני</t>
  </si>
  <si>
    <t>סך תשלום הנובע מהשקעה בקרנות  השקעה בישראל</t>
  </si>
  <si>
    <t>סך תשלום הנובע מהשקעה בקרנות  השקעה בחול</t>
  </si>
  <si>
    <t>תשלום בגין השקעה בקרן נאמנות בישראל</t>
  </si>
  <si>
    <t>תשלום בגין השקעה בקרן נאמנות בחול</t>
  </si>
  <si>
    <t>סך הכל עמלות בגין תשלום השקעה בתעודת סל בישראל</t>
  </si>
  <si>
    <t>סך הכל עמלות בגין תשלום השקעה בתעודת סל בחול</t>
  </si>
  <si>
    <t>סה"כ הוצאות אחרות</t>
  </si>
  <si>
    <t>סך הוצאות בעד ניהול תביעות</t>
  </si>
  <si>
    <t>סך הוצאות בעד מתן משכנתאות</t>
  </si>
  <si>
    <t>שיעור סך ההוצאות הישירות, שההוצאה בגינן מוגבלת לשיעור של 0.25% לפי התקנות (באחוזים) (סיכום סעיפים 3א,4, 5ב חלקי סך נכסים)</t>
  </si>
  <si>
    <t>תשלום הנובע מהשקעה בקרנות  השקעה בישראל</t>
  </si>
  <si>
    <t>תשלום הנובע מהשקעה בקרנות  השקעה בחול</t>
  </si>
  <si>
    <t>תשלום למנהל תיקים זרים :</t>
  </si>
  <si>
    <t>סך התשלום בגין השקעה בקרן נאמנות</t>
  </si>
  <si>
    <t>תשלום בגין השקעה בתעודות סל</t>
  </si>
  <si>
    <t>תעודות סל ישראלית</t>
  </si>
  <si>
    <t>תעודות סל זרה</t>
  </si>
  <si>
    <t>סך הכל עמלות בגין תשלום השקעה בתעודת סל</t>
  </si>
  <si>
    <t>בנק לאומי</t>
  </si>
  <si>
    <t>בנק דיסקונט</t>
  </si>
  <si>
    <t>אי.בי.אי.</t>
  </si>
  <si>
    <t>פועלים סהר</t>
  </si>
  <si>
    <t>BSP ABSOLUTE RETURN FD FO FD (LI)</t>
  </si>
  <si>
    <t>profimex קרן השקעה בקרנות נדלן</t>
  </si>
  <si>
    <t>SPHERA GLOBAL HEALTHCARE MASTE</t>
  </si>
  <si>
    <t>קרן השקעה IGP</t>
  </si>
  <si>
    <t>יסודות א' נדלן ופיתוח שותפות מוגבלת</t>
  </si>
  <si>
    <t>ריאליטי קרן השקעות 2</t>
  </si>
  <si>
    <t>קרן תש"י - קרן 1 (מורים)</t>
  </si>
  <si>
    <t>FIMI OPPORTUNITY V מורים</t>
  </si>
  <si>
    <t>קרן תש"י - קרן 2 (מורים)</t>
  </si>
  <si>
    <t>קרן השתלמות למורים וגננות - מאוחד</t>
  </si>
  <si>
    <t>סה"כ ניכוי מס</t>
  </si>
  <si>
    <t>שעור הוצאות מס מסך הנכסים</t>
  </si>
  <si>
    <t>פסגות ני"ע בע"מ</t>
  </si>
  <si>
    <t>נשואה</t>
  </si>
  <si>
    <t>Pi Emerging Markets Segregated II CLass B 01/16</t>
  </si>
  <si>
    <t>STAGE 1</t>
  </si>
  <si>
    <t>אייפקס מדיום ישראל מורים</t>
  </si>
  <si>
    <t>בלו אטלנטיק פרטנרס</t>
  </si>
  <si>
    <t>לידר</t>
  </si>
  <si>
    <t>פימי 6 אופורטוניטי ישראל FIMI</t>
  </si>
  <si>
    <t>ת.ש.י דרכים ש.מ class a</t>
  </si>
  <si>
    <t>תשתיות ישראל 3</t>
  </si>
  <si>
    <t>קרן שקד</t>
  </si>
  <si>
    <t>דניאל קיסריה אנרגיה מורים</t>
  </si>
  <si>
    <t>דרך הצפון (ע.ג.), שותפות מוגבלת</t>
  </si>
  <si>
    <t>גורילה טרבל</t>
  </si>
  <si>
    <t>אלפא מים פרטנרס</t>
  </si>
  <si>
    <t>קרן טנא</t>
  </si>
  <si>
    <t>טנא הון צמיחה 4</t>
  </si>
  <si>
    <t>STAGE ONE 3</t>
  </si>
  <si>
    <t>תש"י רכבת קלה ירושלים</t>
  </si>
  <si>
    <t>טוליפ קפיטל מורים</t>
  </si>
  <si>
    <t>קרן נוקד אקווטי מורים</t>
  </si>
  <si>
    <t>בלו אטלנטיק 2</t>
  </si>
  <si>
    <t>קרן אלפא הזדמנויות</t>
  </si>
  <si>
    <t>ALTO FUND III מורים</t>
  </si>
  <si>
    <t>Levine Leichtman VI</t>
  </si>
  <si>
    <t>קרן קוגיטו קפיטל מורים</t>
  </si>
  <si>
    <t>Forma Fund</t>
  </si>
  <si>
    <t>פנתיאון אקסס מורים</t>
  </si>
  <si>
    <t>ויולה גנריישן קפיטל מורים</t>
  </si>
  <si>
    <t>ברוקר חול</t>
  </si>
  <si>
    <t>מיטב דרייד ני"ע</t>
  </si>
  <si>
    <t>נדל"ן גולדן קפיטל גרמניה</t>
  </si>
  <si>
    <t>אחר</t>
  </si>
  <si>
    <t>IGP INVESTMENTS II</t>
  </si>
  <si>
    <t>הליוס אנרגיה מתחדשת 4</t>
  </si>
  <si>
    <t>יסודות 2</t>
  </si>
  <si>
    <t>Pontifax Management Fund III L.P.</t>
  </si>
  <si>
    <t>INSIGHT X</t>
  </si>
  <si>
    <t>Bain Special Situation Europe</t>
  </si>
  <si>
    <t>ICG Europe VII מורים</t>
  </si>
  <si>
    <t>קרן וינטאג' 5 אקסס מורים</t>
  </si>
  <si>
    <t>ION ISRAEL FEEDER FUND LTD</t>
  </si>
  <si>
    <t>Electra Multifamily II</t>
  </si>
  <si>
    <t>בנק מיזרחי</t>
  </si>
  <si>
    <t>ICG NORTH AMEIRCA מורים</t>
  </si>
  <si>
    <t>BlueBay מורים</t>
  </si>
  <si>
    <t>אלפא מים פרטנרס 2</t>
  </si>
  <si>
    <t>SPHERA FD D</t>
  </si>
  <si>
    <t xml:space="preserve">קרן תש'י </t>
  </si>
  <si>
    <t>איולוס</t>
  </si>
  <si>
    <t>קרן נוי 3 להשקעה בתשתיות אנרגי</t>
  </si>
  <si>
    <t>קרן ברוקפילד</t>
  </si>
  <si>
    <t>Hamilton Lane CI IV מורים</t>
  </si>
  <si>
    <t>01/09/2018-29/08/2019</t>
  </si>
  <si>
    <t xml:space="preserve">שיעור סך הוצאות ישירות מתוך יתרת נכסים ממוצעת (באחוזים) </t>
  </si>
  <si>
    <t>ספרה</t>
  </si>
  <si>
    <t>ריאליטי 4 מורים</t>
  </si>
</sst>
</file>

<file path=xl/styles.xml><?xml version="1.0" encoding="utf-8"?>
<styleSheet xmlns="http://schemas.openxmlformats.org/spreadsheetml/2006/main">
  <numFmts count="3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?&quot;#,##0.00;[Red]&quot;?&quot;\-#,##0.00"/>
    <numFmt numFmtId="165" formatCode="&quot;?&quot;#,##0;[Red]&quot;?&quot;\-#,##0"/>
    <numFmt numFmtId="166" formatCode="###,##0.00"/>
    <numFmt numFmtId="167" formatCode="#,##0.0"/>
    <numFmt numFmtId="168" formatCode="#,##0.000"/>
    <numFmt numFmtId="169" formatCode="#,##0.0000"/>
    <numFmt numFmtId="170" formatCode="0.0000"/>
    <numFmt numFmtId="171" formatCode="0.000"/>
    <numFmt numFmtId="172" formatCode="###,##0.000000"/>
    <numFmt numFmtId="173" formatCode="###,##0.00000"/>
    <numFmt numFmtId="174" formatCode="###"/>
    <numFmt numFmtId="175" formatCode="#,##0.00_ ;[Red]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₪&quot;#,##0.00;[Red]&quot;₪&quot;\-#,##0.00"/>
    <numFmt numFmtId="181" formatCode="0.000%"/>
    <numFmt numFmtId="182" formatCode="#,##0.000000000"/>
    <numFmt numFmtId="183" formatCode="0.000000"/>
    <numFmt numFmtId="184" formatCode="0.00000"/>
    <numFmt numFmtId="185" formatCode="_ * #,##0.0_ ;_ * \-#,##0.0_ ;_ * &quot;-&quot;??_ ;_ @_ "/>
    <numFmt numFmtId="186" formatCode="_ * #,##0_ ;_ * \-#,##0_ ;_ * &quot;-&quot;??_ ;_ @_ 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Miriam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Protection="0">
      <alignment/>
    </xf>
    <xf numFmtId="44" fontId="0" fillId="0" borderId="0" applyFont="0" applyFill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0" fontId="1" fillId="0" borderId="10" xfId="39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0" fontId="0" fillId="0" borderId="0" xfId="39" applyNumberFormat="1" applyFont="1" applyAlignment="1">
      <alignment/>
    </xf>
    <xf numFmtId="3" fontId="0" fillId="0" borderId="14" xfId="0" applyNumberFormat="1" applyFill="1" applyBorder="1" applyAlignment="1">
      <alignment/>
    </xf>
    <xf numFmtId="3" fontId="0" fillId="0" borderId="0" xfId="0" applyNumberFormat="1" applyAlignment="1">
      <alignment/>
    </xf>
    <xf numFmtId="0" fontId="23" fillId="0" borderId="10" xfId="36" applyBorder="1" applyAlignment="1">
      <alignment horizontal="right"/>
      <protection/>
    </xf>
    <xf numFmtId="181" fontId="0" fillId="0" borderId="0" xfId="39" applyNumberFormat="1" applyFont="1" applyAlignment="1">
      <alignment/>
    </xf>
    <xf numFmtId="0" fontId="1" fillId="0" borderId="10" xfId="0" applyFont="1" applyBorder="1" applyAlignment="1">
      <alignment horizontal="right"/>
    </xf>
    <xf numFmtId="49" fontId="40" fillId="0" borderId="1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 vertical="center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right"/>
    </xf>
    <xf numFmtId="0" fontId="23" fillId="0" borderId="10" xfId="36" applyFill="1" applyBorder="1" applyAlignment="1">
      <alignment horizontal="right"/>
      <protection/>
    </xf>
    <xf numFmtId="0" fontId="1" fillId="0" borderId="10" xfId="0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Normal 2 3" xfId="37"/>
    <cellStyle name="Normal 3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9"/>
  <sheetViews>
    <sheetView rightToLeft="1" tabSelected="1" zoomScalePageLayoutView="0" workbookViewId="0" topLeftCell="A13">
      <selection activeCell="E39" sqref="E39"/>
    </sheetView>
  </sheetViews>
  <sheetFormatPr defaultColWidth="9.140625" defaultRowHeight="12.75"/>
  <cols>
    <col min="2" max="2" width="76.421875" style="0" customWidth="1"/>
    <col min="3" max="3" width="15.421875" style="0" customWidth="1"/>
    <col min="4" max="4" width="12.7109375" style="1" customWidth="1"/>
    <col min="5" max="5" width="11.7109375" style="1" customWidth="1"/>
    <col min="6" max="6" width="15.421875" style="1" customWidth="1"/>
    <col min="7" max="9" width="9.140625" style="1" customWidth="1"/>
  </cols>
  <sheetData>
    <row r="2" ht="12.75">
      <c r="B2" s="8" t="s">
        <v>19</v>
      </c>
    </row>
    <row r="3" ht="12.75">
      <c r="B3" s="14" t="s">
        <v>128</v>
      </c>
    </row>
    <row r="4" spans="3:6" ht="13.5" customHeight="1">
      <c r="C4" s="17" t="s">
        <v>29</v>
      </c>
      <c r="D4" s="17" t="s">
        <v>30</v>
      </c>
      <c r="E4" s="17" t="s">
        <v>32</v>
      </c>
      <c r="F4" s="17" t="s">
        <v>31</v>
      </c>
    </row>
    <row r="5" spans="2:6" ht="19.5" customHeight="1">
      <c r="B5" s="22" t="s">
        <v>72</v>
      </c>
      <c r="C5" s="17" t="s">
        <v>6</v>
      </c>
      <c r="D5" s="18" t="s">
        <v>6</v>
      </c>
      <c r="E5" s="18" t="s">
        <v>6</v>
      </c>
      <c r="F5" s="18" t="s">
        <v>6</v>
      </c>
    </row>
    <row r="6" spans="2:6" ht="19.5" customHeight="1">
      <c r="B6" s="7"/>
      <c r="C6" s="18"/>
      <c r="D6" s="18"/>
      <c r="E6" s="18"/>
      <c r="F6" s="18"/>
    </row>
    <row r="7" spans="2:6" ht="15">
      <c r="B7" s="7" t="s">
        <v>34</v>
      </c>
      <c r="C7" s="9"/>
      <c r="D7" s="9"/>
      <c r="E7" s="9"/>
      <c r="F7" s="9"/>
    </row>
    <row r="8" spans="2:6" ht="12.75">
      <c r="B8" s="3" t="s">
        <v>1</v>
      </c>
      <c r="C8" s="16">
        <f>'נספח 2'!C9</f>
        <v>471.25061</v>
      </c>
      <c r="D8" s="16">
        <f>'נספח 2'!D9</f>
        <v>29.32669</v>
      </c>
      <c r="E8" s="16">
        <f>'נספח 2'!E9</f>
        <v>0.41461999999999993</v>
      </c>
      <c r="F8" s="16">
        <f>SUM(C8:E8)</f>
        <v>500.99192</v>
      </c>
    </row>
    <row r="9" spans="2:6" ht="12.75">
      <c r="B9" s="3" t="s">
        <v>0</v>
      </c>
      <c r="C9" s="16">
        <f>'נספח 2'!C25</f>
        <v>2367.37011</v>
      </c>
      <c r="D9" s="16">
        <f>'נספח 2'!D25</f>
        <v>82.2406</v>
      </c>
      <c r="E9" s="16">
        <f>'נספח 2'!E25</f>
        <v>1.69034</v>
      </c>
      <c r="F9" s="16">
        <f>SUM(C9:E9)</f>
        <v>2451.30105</v>
      </c>
    </row>
    <row r="10" spans="2:6" ht="12.75">
      <c r="B10" s="3"/>
      <c r="C10" s="16"/>
      <c r="D10" s="16"/>
      <c r="E10" s="16"/>
      <c r="F10" s="16"/>
    </row>
    <row r="11" spans="2:6" ht="14.25" customHeight="1">
      <c r="B11" s="7" t="s">
        <v>35</v>
      </c>
      <c r="C11" s="16"/>
      <c r="D11" s="16"/>
      <c r="E11" s="16"/>
      <c r="F11" s="16"/>
    </row>
    <row r="12" spans="2:6" ht="12.75">
      <c r="B12" s="3" t="s">
        <v>2</v>
      </c>
      <c r="C12" s="16"/>
      <c r="D12" s="16"/>
      <c r="E12" s="16"/>
      <c r="F12" s="16"/>
    </row>
    <row r="13" spans="2:6" ht="12.75">
      <c r="B13" s="3" t="s">
        <v>3</v>
      </c>
      <c r="C13" s="16">
        <f>'נספח 2'!C33</f>
        <v>264.33324999999996</v>
      </c>
      <c r="D13" s="16">
        <f>'נספח 2'!D33</f>
        <v>2.0413300000000003</v>
      </c>
      <c r="E13" s="16">
        <f>'נספח 2'!E33</f>
        <v>0.06297</v>
      </c>
      <c r="F13" s="16">
        <f>SUM(C13:E13)</f>
        <v>266.43755</v>
      </c>
    </row>
    <row r="14" spans="2:6" ht="12.75">
      <c r="B14" s="3"/>
      <c r="C14" s="16"/>
      <c r="D14" s="16"/>
      <c r="E14" s="16"/>
      <c r="F14" s="16"/>
    </row>
    <row r="15" spans="2:6" ht="15">
      <c r="B15" s="7" t="s">
        <v>36</v>
      </c>
      <c r="C15" s="16"/>
      <c r="D15" s="16"/>
      <c r="E15" s="16"/>
      <c r="F15" s="16"/>
    </row>
    <row r="16" spans="2:6" ht="12.75">
      <c r="B16" s="3" t="s">
        <v>37</v>
      </c>
      <c r="C16" s="16">
        <f>'נספח 2'!C44</f>
        <v>417.97769999999997</v>
      </c>
      <c r="D16" s="16">
        <f>'נספח 2'!D44</f>
        <v>0</v>
      </c>
      <c r="E16" s="16">
        <f>'נספח 2'!E44</f>
        <v>0</v>
      </c>
      <c r="F16" s="16">
        <f>SUM(C16:E16)</f>
        <v>417.97769999999997</v>
      </c>
    </row>
    <row r="17" spans="2:6" ht="12.75">
      <c r="B17" s="3" t="s">
        <v>38</v>
      </c>
      <c r="C17" s="16"/>
      <c r="D17" s="16"/>
      <c r="E17" s="16"/>
      <c r="F17" s="16"/>
    </row>
    <row r="18" spans="2:6" ht="12.75">
      <c r="B18" s="3" t="s">
        <v>39</v>
      </c>
      <c r="C18" s="16"/>
      <c r="D18" s="16"/>
      <c r="E18" s="16"/>
      <c r="F18" s="16"/>
    </row>
    <row r="19" spans="2:6" ht="12.75">
      <c r="B19" s="3"/>
      <c r="C19" s="16"/>
      <c r="D19" s="16"/>
      <c r="E19" s="16"/>
      <c r="F19" s="16"/>
    </row>
    <row r="20" spans="2:6" ht="15">
      <c r="B20" s="7" t="s">
        <v>40</v>
      </c>
      <c r="C20" s="16"/>
      <c r="D20" s="16"/>
      <c r="E20" s="16"/>
      <c r="F20" s="16"/>
    </row>
    <row r="21" spans="2:6" ht="12.75">
      <c r="B21" s="3" t="s">
        <v>41</v>
      </c>
      <c r="C21" s="16">
        <f>'נספח 3'!C39</f>
        <v>8937.83778412991</v>
      </c>
      <c r="D21" s="16">
        <f>'נספח 3'!D39</f>
        <v>0</v>
      </c>
      <c r="E21" s="16">
        <f>'נספח 3'!E39</f>
        <v>0</v>
      </c>
      <c r="F21" s="16">
        <f>SUM(C21:E21)</f>
        <v>8937.83778412991</v>
      </c>
    </row>
    <row r="22" spans="2:6" ht="12.75">
      <c r="B22" s="3" t="s">
        <v>42</v>
      </c>
      <c r="C22" s="16">
        <f>'נספח 3'!C68</f>
        <v>8253.586687332634</v>
      </c>
      <c r="D22" s="16">
        <f>'נספח 3'!D68</f>
        <v>0</v>
      </c>
      <c r="E22" s="16">
        <f>'נספח 3'!E68</f>
        <v>0</v>
      </c>
      <c r="F22" s="16">
        <f>SUM(C22:E22)</f>
        <v>8253.586687332634</v>
      </c>
    </row>
    <row r="23" spans="2:6" ht="12.75">
      <c r="B23" s="6" t="s">
        <v>4</v>
      </c>
      <c r="C23" s="16"/>
      <c r="D23" s="16"/>
      <c r="E23" s="16"/>
      <c r="F23" s="16"/>
    </row>
    <row r="24" spans="2:6" ht="12.75">
      <c r="B24" s="6" t="s">
        <v>13</v>
      </c>
      <c r="C24" s="16"/>
      <c r="D24" s="16"/>
      <c r="E24" s="16"/>
      <c r="F24" s="16"/>
    </row>
    <row r="25" spans="2:6" ht="12.75">
      <c r="B25" s="3" t="s">
        <v>43</v>
      </c>
      <c r="C25" s="16">
        <f>'נספח 3'!C79</f>
        <v>356.970286626877</v>
      </c>
      <c r="D25" s="16">
        <f>'נספח 3'!D79</f>
        <v>0</v>
      </c>
      <c r="E25" s="16">
        <f>'נספח 3'!E79</f>
        <v>0</v>
      </c>
      <c r="F25" s="16">
        <f>SUM(C25:E25)</f>
        <v>356.970286626877</v>
      </c>
    </row>
    <row r="26" spans="2:6" ht="12.75">
      <c r="B26" s="3" t="s">
        <v>44</v>
      </c>
      <c r="C26" s="16">
        <f>'נספח 3'!C80</f>
        <v>3274.90936205829</v>
      </c>
      <c r="D26" s="16">
        <f>'נספח 3'!D80</f>
        <v>54.1291142279863</v>
      </c>
      <c r="E26" s="16">
        <f>'נספח 3'!E80</f>
        <v>3.27740075355069</v>
      </c>
      <c r="F26" s="16">
        <f>SUM(C26:E26)</f>
        <v>3332.3158770398272</v>
      </c>
    </row>
    <row r="27" spans="2:6" ht="12.75">
      <c r="B27" s="6" t="s">
        <v>45</v>
      </c>
      <c r="C27" s="16">
        <f>'נספח 3'!C84</f>
        <v>-1238.8402274743041</v>
      </c>
      <c r="D27" s="16">
        <f>'נספח 3'!D84</f>
        <v>-45.19861109515617</v>
      </c>
      <c r="E27" s="16">
        <f>'נספח 3'!E84</f>
        <v>0</v>
      </c>
      <c r="F27" s="16">
        <f>SUM(C27:E27)</f>
        <v>-1284.0388385694603</v>
      </c>
    </row>
    <row r="28" spans="2:6" ht="12.75">
      <c r="B28" s="6" t="s">
        <v>46</v>
      </c>
      <c r="C28" s="16">
        <f>'נספח 3'!C85</f>
        <v>2061.271987242922</v>
      </c>
      <c r="D28" s="16">
        <f>'נספח 3'!D85</f>
        <v>99.2626221571781</v>
      </c>
      <c r="E28" s="16">
        <f>'נספח 3'!E85</f>
        <v>-0.09711</v>
      </c>
      <c r="F28" s="16">
        <f>SUM(C28:E28)</f>
        <v>2160.4374994001</v>
      </c>
    </row>
    <row r="29" spans="2:6" ht="12.75">
      <c r="B29" s="6"/>
      <c r="C29" s="16"/>
      <c r="D29" s="16"/>
      <c r="E29" s="16"/>
      <c r="F29" s="16"/>
    </row>
    <row r="30" spans="2:6" ht="15">
      <c r="B30" s="7" t="s">
        <v>47</v>
      </c>
      <c r="C30" s="16"/>
      <c r="D30" s="16"/>
      <c r="E30" s="16"/>
      <c r="F30" s="16"/>
    </row>
    <row r="31" spans="2:6" ht="12.75">
      <c r="B31" s="3" t="s">
        <v>48</v>
      </c>
      <c r="C31" s="16"/>
      <c r="D31" s="16"/>
      <c r="E31" s="16"/>
      <c r="F31" s="16"/>
    </row>
    <row r="32" spans="2:6" ht="12.75">
      <c r="B32" s="3" t="s">
        <v>49</v>
      </c>
      <c r="C32" s="16"/>
      <c r="D32" s="16"/>
      <c r="E32" s="16"/>
      <c r="F32" s="16"/>
    </row>
    <row r="33" spans="2:6" ht="12.75">
      <c r="B33" s="2"/>
      <c r="C33" s="16"/>
      <c r="D33" s="16"/>
      <c r="E33" s="16"/>
      <c r="F33" s="16"/>
    </row>
    <row r="34" spans="2:6" ht="12.75">
      <c r="B34" s="3" t="s">
        <v>5</v>
      </c>
      <c r="C34" s="16">
        <f>+C9+C13+C16+C21+C22+C27+C28+C8+C26+C25</f>
        <v>25166.66754991633</v>
      </c>
      <c r="D34" s="16">
        <f>+D9+D13+D16+D21+D22+D27+D28+D8+D26</f>
        <v>221.80174529000823</v>
      </c>
      <c r="E34" s="16">
        <f>+E9+E13+E16+E21+E22+E27+E28+E8+E26</f>
        <v>5.34822075355069</v>
      </c>
      <c r="F34" s="16">
        <f>SUM(C34:E34)</f>
        <v>25393.817515959887</v>
      </c>
    </row>
    <row r="35" spans="2:6" ht="12.75">
      <c r="B35" s="3"/>
      <c r="C35" s="16"/>
      <c r="D35" s="16"/>
      <c r="E35" s="16"/>
      <c r="F35" s="16"/>
    </row>
    <row r="36" spans="2:6" ht="25.5">
      <c r="B36" s="20" t="s">
        <v>50</v>
      </c>
      <c r="C36" s="21">
        <f>(C16+C21+C22+C27+C28+C32+C26+C25)/C39</f>
        <v>0.0014942456897093482</v>
      </c>
      <c r="D36" s="21">
        <f>(D16+D21+D22+D27+D28+D32+D26)/D39</f>
        <v>0.0002665754830817498</v>
      </c>
      <c r="E36" s="21">
        <f>(E16+E21+E22+E27+E28+E32+E26)/E39</f>
        <v>0.00021012822950450545</v>
      </c>
      <c r="F36" s="21">
        <f>(F16+F21+F22+F27+F28+F32)/F39</f>
        <v>0.001217229376217098</v>
      </c>
    </row>
    <row r="37" spans="2:6" ht="12.75">
      <c r="B37" s="20" t="s">
        <v>129</v>
      </c>
      <c r="C37" s="21">
        <f>C34/((15384253+14765782)/2)</f>
        <v>0.0016694287452678797</v>
      </c>
      <c r="D37" s="21">
        <f>D34/((467368+405863)/2)</f>
        <v>0.0005080024536234014</v>
      </c>
      <c r="E37" s="21">
        <f>E34/((14760+15135)/2)</f>
        <v>0.00035780035146684664</v>
      </c>
      <c r="F37" s="21">
        <f>F34/F39</f>
        <v>0.0016720996258233647</v>
      </c>
    </row>
    <row r="38" spans="2:6" ht="12.75">
      <c r="B38" s="2"/>
      <c r="C38" s="16"/>
      <c r="D38" s="16"/>
      <c r="E38" s="16"/>
      <c r="F38" s="16"/>
    </row>
    <row r="39" spans="2:6" ht="12.75">
      <c r="B39" s="3" t="s">
        <v>33</v>
      </c>
      <c r="C39" s="16">
        <v>14765787</v>
      </c>
      <c r="D39" s="16">
        <v>405863</v>
      </c>
      <c r="E39" s="16">
        <v>15135</v>
      </c>
      <c r="F39" s="16">
        <f>SUM(C39:E39)</f>
        <v>15186785</v>
      </c>
    </row>
    <row r="41" spans="2:6" ht="12.75" hidden="1">
      <c r="B41" s="3" t="s">
        <v>73</v>
      </c>
      <c r="C41" s="16">
        <v>5433</v>
      </c>
      <c r="D41" s="16">
        <v>188</v>
      </c>
      <c r="E41" s="16">
        <v>0</v>
      </c>
      <c r="F41" s="16">
        <f>SUM(C41:E41)</f>
        <v>5621</v>
      </c>
    </row>
    <row r="42" spans="2:6" ht="12.75" hidden="1">
      <c r="B42" s="20" t="s">
        <v>74</v>
      </c>
      <c r="C42" s="21">
        <f>C41/C39</f>
        <v>0.00036794516946506134</v>
      </c>
      <c r="D42" s="21">
        <f>D41/D39</f>
        <v>0.00046321049221042566</v>
      </c>
      <c r="E42" s="21">
        <f>E41/E39</f>
        <v>0</v>
      </c>
      <c r="F42" s="21">
        <f>F41/F39</f>
        <v>0.0003701244206723148</v>
      </c>
    </row>
    <row r="44" spans="3:6" ht="12.75">
      <c r="C44" s="15"/>
      <c r="D44" s="15"/>
      <c r="E44" s="15"/>
      <c r="F44" s="15"/>
    </row>
    <row r="45" spans="3:6" ht="12.75">
      <c r="C45" s="30"/>
      <c r="D45" s="26"/>
      <c r="E45" s="26"/>
      <c r="F45" s="26"/>
    </row>
    <row r="46" spans="3:6" ht="12.75">
      <c r="C46" s="15"/>
      <c r="D46" s="15"/>
      <c r="E46" s="15"/>
      <c r="F46" s="15"/>
    </row>
    <row r="47" spans="3:6" ht="12.75">
      <c r="C47" s="26"/>
      <c r="D47" s="26"/>
      <c r="E47" s="26"/>
      <c r="F47" s="26"/>
    </row>
    <row r="48" spans="3:6" ht="12.75">
      <c r="C48" s="15"/>
      <c r="D48" s="15"/>
      <c r="E48" s="15"/>
      <c r="F48" s="15"/>
    </row>
    <row r="49" spans="3:6" ht="12.75">
      <c r="C49" s="26"/>
      <c r="D49" s="26"/>
      <c r="E49" s="26"/>
      <c r="F49" s="26"/>
    </row>
    <row r="50" spans="3:6" ht="12.75">
      <c r="C50" s="15"/>
      <c r="D50" s="15"/>
      <c r="E50" s="15"/>
      <c r="F50" s="15"/>
    </row>
    <row r="51" spans="3:6" ht="12.75">
      <c r="C51" s="26"/>
      <c r="D51" s="26"/>
      <c r="E51" s="26"/>
      <c r="F51" s="26"/>
    </row>
    <row r="52" spans="3:6" ht="12.75">
      <c r="C52" s="15"/>
      <c r="D52" s="15"/>
      <c r="E52" s="15"/>
      <c r="F52" s="15"/>
    </row>
    <row r="53" spans="3:6" ht="12.75">
      <c r="C53" s="26"/>
      <c r="D53" s="26"/>
      <c r="E53" s="26"/>
      <c r="F53" s="26"/>
    </row>
    <row r="54" spans="3:6" ht="12.75">
      <c r="C54" s="15"/>
      <c r="D54" s="15"/>
      <c r="E54" s="15"/>
      <c r="F54" s="15"/>
    </row>
    <row r="55" spans="3:6" ht="12.75">
      <c r="C55" s="26"/>
      <c r="D55" s="26"/>
      <c r="E55" s="26"/>
      <c r="F55" s="26"/>
    </row>
    <row r="57" spans="4:5" ht="12.75">
      <c r="D57"/>
      <c r="E57"/>
    </row>
    <row r="59" spans="3:5" ht="12.75">
      <c r="C59" s="28"/>
      <c r="D59" s="28"/>
      <c r="E59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rightToLeft="1" zoomScalePageLayoutView="0" workbookViewId="0" topLeftCell="A16">
      <selection activeCell="C41" sqref="C41"/>
    </sheetView>
  </sheetViews>
  <sheetFormatPr defaultColWidth="9.140625" defaultRowHeight="12.75"/>
  <cols>
    <col min="2" max="2" width="74.8515625" style="0" bestFit="1" customWidth="1"/>
    <col min="3" max="3" width="12.7109375" style="0" customWidth="1"/>
    <col min="4" max="4" width="10.140625" style="0" customWidth="1"/>
    <col min="5" max="5" width="9.140625" style="0" customWidth="1"/>
    <col min="6" max="6" width="12.7109375" style="0" customWidth="1"/>
  </cols>
  <sheetData>
    <row r="2" spans="2:3" ht="12.75">
      <c r="B2" s="5" t="s">
        <v>18</v>
      </c>
      <c r="C2" s="1"/>
    </row>
    <row r="3" spans="2:3" ht="14.25" customHeight="1">
      <c r="B3" s="13" t="str">
        <f>'נספח 1'!B3</f>
        <v>01/09/2018-29/08/2019</v>
      </c>
      <c r="C3" s="1"/>
    </row>
    <row r="4" spans="2:6" ht="12.75">
      <c r="B4" s="1"/>
      <c r="C4" s="17" t="s">
        <v>29</v>
      </c>
      <c r="D4" s="17" t="s">
        <v>30</v>
      </c>
      <c r="E4" s="17" t="s">
        <v>32</v>
      </c>
      <c r="F4" s="17" t="s">
        <v>31</v>
      </c>
    </row>
    <row r="5" spans="2:6" ht="25.5" customHeight="1">
      <c r="B5" s="7" t="str">
        <f>'נספח 1'!B5</f>
        <v>קרן השתלמות למורים וגננות - מאוחד</v>
      </c>
      <c r="C5" s="19" t="s">
        <v>6</v>
      </c>
      <c r="D5" s="19" t="s">
        <v>6</v>
      </c>
      <c r="E5" s="19" t="s">
        <v>6</v>
      </c>
      <c r="F5" s="19" t="s">
        <v>6</v>
      </c>
    </row>
    <row r="6" spans="2:6" ht="15">
      <c r="B6" s="7"/>
      <c r="C6" s="3"/>
      <c r="D6" s="3"/>
      <c r="E6" s="3"/>
      <c r="F6" s="3"/>
    </row>
    <row r="7" spans="2:6" ht="12.75">
      <c r="B7" s="4" t="s">
        <v>7</v>
      </c>
      <c r="C7" s="10"/>
      <c r="D7" s="10"/>
      <c r="E7" s="10"/>
      <c r="F7" s="10"/>
    </row>
    <row r="8" spans="2:6" ht="12.75">
      <c r="B8" s="3" t="s">
        <v>20</v>
      </c>
      <c r="C8" s="10"/>
      <c r="D8" s="10"/>
      <c r="E8" s="10"/>
      <c r="F8" s="10"/>
    </row>
    <row r="9" spans="2:8" ht="12.75">
      <c r="B9" s="23" t="s">
        <v>75</v>
      </c>
      <c r="C9" s="24">
        <f>189519.41/1000+88493.41/1000+120235.56/1000+73002.23/1000</f>
        <v>471.25061</v>
      </c>
      <c r="D9" s="24">
        <f>16696.19/1000+8480.11/1000+2426.8/1000+1723.59/1000</f>
        <v>29.32669</v>
      </c>
      <c r="E9" s="24">
        <f>138.96/1000+44.71/1000+183.51/1000+47.44/1000</f>
        <v>0.41461999999999993</v>
      </c>
      <c r="F9" s="24">
        <f aca="true" t="shared" si="0" ref="F9:F19">SUM(C9:E9)</f>
        <v>500.99192</v>
      </c>
      <c r="H9" s="27"/>
    </row>
    <row r="10" spans="2:6" ht="12.75">
      <c r="B10" s="3" t="s">
        <v>21</v>
      </c>
      <c r="C10" s="24"/>
      <c r="D10" s="24"/>
      <c r="E10" s="24"/>
      <c r="F10" s="24"/>
    </row>
    <row r="11" spans="2:6" ht="12.75">
      <c r="B11" s="11" t="s">
        <v>16</v>
      </c>
      <c r="C11" s="24">
        <f>724386.36/1000+1556.82/1000+124696.71/1000+405736.99/1000+122612.08/1000</f>
        <v>1378.9889600000001</v>
      </c>
      <c r="D11" s="24">
        <f>53924.72/1000+72.25/1000+2591.03/1000+9011.96/1000+684.92/1000</f>
        <v>66.28488</v>
      </c>
      <c r="E11" s="25">
        <f>103.42/1000+406.85/1000+619.32/1000</f>
        <v>1.12959</v>
      </c>
      <c r="F11" s="24">
        <f t="shared" si="0"/>
        <v>1446.40343</v>
      </c>
    </row>
    <row r="12" spans="2:6" ht="12.75">
      <c r="B12" s="11" t="s">
        <v>61</v>
      </c>
      <c r="C12" s="24">
        <f>40.06358+47590.33/1000+71695.6/1000+24290.83/1000</f>
        <v>183.64034</v>
      </c>
      <c r="D12" s="24">
        <f>0.82033+2082.4/1000+914.38/1000+1206.43/1000</f>
        <v>5.023540000000001</v>
      </c>
      <c r="E12" s="24">
        <f>0.0378+40.14/1000+1.65/1000+77.77/1000+5.05/1000</f>
        <v>0.16241</v>
      </c>
      <c r="F12" s="24">
        <f t="shared" si="0"/>
        <v>188.82629</v>
      </c>
    </row>
    <row r="13" spans="2:6" ht="12.75">
      <c r="B13" s="12" t="s">
        <v>60</v>
      </c>
      <c r="C13" s="24">
        <f>50.81719+32994.67/1000+24771.95/1000+9885.51/1000</f>
        <v>118.46932</v>
      </c>
      <c r="D13" s="24">
        <f>3.4919+1292.7/1000+947.71/1000+323.49/1000</f>
        <v>6.055799999999999</v>
      </c>
      <c r="E13" s="24">
        <f>0.03731+24.15/1000+59.22/1000+4.59/1000</f>
        <v>0.12527000000000002</v>
      </c>
      <c r="F13" s="24">
        <f t="shared" si="0"/>
        <v>124.65039</v>
      </c>
    </row>
    <row r="14" spans="2:6" ht="12.75">
      <c r="B14" s="11" t="s">
        <v>59</v>
      </c>
      <c r="C14" s="24">
        <f>42.44332+16470.16/1000+6214.6/1000+4175.04/1000</f>
        <v>69.30311999999999</v>
      </c>
      <c r="D14" s="24">
        <f>0.71296+181.82/1000+33.04/1000</f>
        <v>0.92782</v>
      </c>
      <c r="E14" s="24">
        <f>0.04033+6.02/1000+1.08/1000+1.07/1000</f>
        <v>0.048499999999999995</v>
      </c>
      <c r="F14" s="24">
        <f t="shared" si="0"/>
        <v>70.27944</v>
      </c>
    </row>
    <row r="15" spans="2:6" ht="12.75">
      <c r="B15" s="11" t="s">
        <v>81</v>
      </c>
      <c r="C15" s="24">
        <f>55.81646+27126.9/1000+35343.67/1000+10822.66/1000</f>
        <v>129.10969</v>
      </c>
      <c r="D15" s="24">
        <f>0.97889+294.92/1000+32.37/1000+249.69/1000</f>
        <v>1.55587</v>
      </c>
      <c r="E15" s="24">
        <f>0.04438+17.33/1000+14.22/1000+8.06/1000</f>
        <v>0.08399</v>
      </c>
      <c r="F15" s="24">
        <f t="shared" si="0"/>
        <v>130.74955</v>
      </c>
    </row>
    <row r="16" spans="2:6" ht="12.75">
      <c r="B16" s="11" t="s">
        <v>76</v>
      </c>
      <c r="C16" s="24">
        <f>59.62966+17555.9/1000+19782.43/1000+6053.44/1000</f>
        <v>103.02143000000001</v>
      </c>
      <c r="D16" s="24">
        <f>0.52449+52.62/1000+380.37/1000</f>
        <v>0.95748</v>
      </c>
      <c r="E16" s="24">
        <f>0.01074+87.09/1000+9.07/1000</f>
        <v>0.1069</v>
      </c>
      <c r="F16" s="24">
        <f t="shared" si="0"/>
        <v>104.08581000000001</v>
      </c>
    </row>
    <row r="17" spans="2:6" ht="12.75">
      <c r="B17" s="11" t="s">
        <v>105</v>
      </c>
      <c r="C17" s="24">
        <f>38.51465+20644.46/1000+21084.51/1000+11305.45/1000</f>
        <v>91.54907</v>
      </c>
      <c r="D17" s="24">
        <f>0.41175+264.55/1000+642.31/1000+59.93/1000</f>
        <v>1.37854</v>
      </c>
      <c r="E17" s="25">
        <f>0.0245+5.8/1000+1.53/1000</f>
        <v>0.03183</v>
      </c>
      <c r="F17" s="24">
        <f t="shared" si="0"/>
        <v>92.95944</v>
      </c>
    </row>
    <row r="18" spans="2:6" ht="12.75">
      <c r="B18" s="11" t="s">
        <v>118</v>
      </c>
      <c r="C18" s="24">
        <f>4420.72/1000+1919.13/1000</f>
        <v>6.33985</v>
      </c>
      <c r="D18" s="24">
        <f>56.67/1000</f>
        <v>0.056670000000000005</v>
      </c>
      <c r="E18" s="25">
        <f>1.85/1000</f>
        <v>0.00185</v>
      </c>
      <c r="F18" s="24">
        <f t="shared" si="0"/>
        <v>6.398370000000001</v>
      </c>
    </row>
    <row r="19" spans="2:6" ht="12.75">
      <c r="B19" s="11" t="s">
        <v>104</v>
      </c>
      <c r="C19" s="24">
        <f>94055.7/1000+48763.69/1000+83204.61/1000+60924.33/1000</f>
        <v>286.94833</v>
      </c>
      <c r="D19" s="24"/>
      <c r="E19" s="24"/>
      <c r="F19" s="24">
        <f t="shared" si="0"/>
        <v>286.94833</v>
      </c>
    </row>
    <row r="20" spans="2:6" ht="12.75">
      <c r="B20" s="11"/>
      <c r="C20" s="24"/>
      <c r="D20" s="24"/>
      <c r="E20" s="24"/>
      <c r="F20" s="24"/>
    </row>
    <row r="21" spans="2:6" ht="12.75">
      <c r="B21" s="11"/>
      <c r="C21" s="24"/>
      <c r="D21" s="24"/>
      <c r="E21" s="24"/>
      <c r="F21" s="24"/>
    </row>
    <row r="22" spans="2:6" ht="12.75">
      <c r="B22" s="11"/>
      <c r="C22" s="24"/>
      <c r="D22" s="24"/>
      <c r="E22" s="24"/>
      <c r="F22" s="24"/>
    </row>
    <row r="23" spans="2:6" ht="12.75">
      <c r="B23" s="11"/>
      <c r="C23" s="24"/>
      <c r="D23" s="24"/>
      <c r="E23" s="24"/>
      <c r="F23" s="24"/>
    </row>
    <row r="24" spans="2:6" ht="12.75">
      <c r="B24" s="11"/>
      <c r="C24" s="24"/>
      <c r="D24" s="24"/>
      <c r="E24" s="24"/>
      <c r="F24" s="24"/>
    </row>
    <row r="25" spans="2:6" ht="12.75">
      <c r="B25" s="3" t="s">
        <v>8</v>
      </c>
      <c r="C25" s="16">
        <f>SUM(C11:C19)</f>
        <v>2367.37011</v>
      </c>
      <c r="D25" s="16">
        <f>SUM(D11:D19)</f>
        <v>82.2406</v>
      </c>
      <c r="E25" s="16">
        <f>SUM(E11:E19)</f>
        <v>1.69034</v>
      </c>
      <c r="F25" s="16">
        <f>SUM(C25:E25)</f>
        <v>2451.30105</v>
      </c>
    </row>
    <row r="26" spans="2:6" ht="12.75">
      <c r="B26" s="2"/>
      <c r="C26" s="10"/>
      <c r="D26" s="10"/>
      <c r="E26" s="10"/>
      <c r="F26" s="10"/>
    </row>
    <row r="27" spans="2:6" ht="12.75">
      <c r="B27" s="4" t="s">
        <v>9</v>
      </c>
      <c r="C27" s="10"/>
      <c r="D27" s="10"/>
      <c r="E27" s="10"/>
      <c r="F27" s="10"/>
    </row>
    <row r="28" spans="2:6" ht="12.75">
      <c r="B28" s="3" t="s">
        <v>20</v>
      </c>
      <c r="C28" s="10"/>
      <c r="D28" s="10"/>
      <c r="E28" s="10"/>
      <c r="F28" s="10"/>
    </row>
    <row r="29" spans="2:6" ht="12.75">
      <c r="B29" s="3"/>
      <c r="C29" s="10"/>
      <c r="D29" s="10"/>
      <c r="E29" s="10"/>
      <c r="F29" s="10"/>
    </row>
    <row r="30" spans="2:6" ht="12.75">
      <c r="B30" s="3" t="s">
        <v>21</v>
      </c>
      <c r="C30" s="10"/>
      <c r="D30" s="10"/>
      <c r="E30" s="10"/>
      <c r="F30" s="10"/>
    </row>
    <row r="31" spans="2:8" ht="12.75">
      <c r="B31" s="2" t="s">
        <v>16</v>
      </c>
      <c r="C31" s="24">
        <f>206816.68/1000+40896.23/1000+10225.07/1000</f>
        <v>257.93798</v>
      </c>
      <c r="D31" s="24">
        <f>1856.27/1000+185.06/1000</f>
        <v>2.0413300000000003</v>
      </c>
      <c r="E31" s="24">
        <f>56.98/1000+5.99/1000</f>
        <v>0.06297</v>
      </c>
      <c r="F31" s="24">
        <f>SUM(C31:E31)</f>
        <v>260.04228</v>
      </c>
      <c r="H31" s="27"/>
    </row>
    <row r="32" spans="2:8" ht="12.75">
      <c r="B32" s="2" t="s">
        <v>62</v>
      </c>
      <c r="C32" s="24">
        <f>2293.37/1000+1027.4/1000+2054.71/1000+1019.79/1000</f>
        <v>6.39527</v>
      </c>
      <c r="D32" s="24"/>
      <c r="E32" s="24"/>
      <c r="F32" s="24">
        <f>SUM(C32:E32)</f>
        <v>6.39527</v>
      </c>
      <c r="H32" s="35"/>
    </row>
    <row r="33" spans="2:6" ht="12.75">
      <c r="B33" s="3" t="s">
        <v>10</v>
      </c>
      <c r="C33" s="16">
        <f>SUM(C31:C32)</f>
        <v>264.33324999999996</v>
      </c>
      <c r="D33" s="16">
        <f>SUM(D31:D32)</f>
        <v>2.0413300000000003</v>
      </c>
      <c r="E33" s="16">
        <f>SUM(E31:E32)</f>
        <v>0.06297</v>
      </c>
      <c r="F33" s="16">
        <f>SUM(C33:E33)</f>
        <v>266.43755</v>
      </c>
    </row>
    <row r="34" spans="2:6" ht="12.75">
      <c r="B34" s="2"/>
      <c r="C34" s="24"/>
      <c r="D34" s="24"/>
      <c r="E34" s="24"/>
      <c r="F34" s="24"/>
    </row>
    <row r="35" spans="2:6" ht="12.75">
      <c r="B35" s="3" t="s">
        <v>22</v>
      </c>
      <c r="C35" s="24"/>
      <c r="D35" s="24"/>
      <c r="E35" s="24"/>
      <c r="F35" s="24"/>
    </row>
    <row r="36" spans="2:6" ht="12.75">
      <c r="B36" s="23" t="s">
        <v>106</v>
      </c>
      <c r="C36" s="24">
        <f>113563.73/1000</f>
        <v>113.56372999999999</v>
      </c>
      <c r="D36" s="24"/>
      <c r="E36" s="24"/>
      <c r="F36" s="24">
        <f aca="true" t="shared" si="1" ref="F36:F43">SUM(C36:E36)</f>
        <v>113.56372999999999</v>
      </c>
    </row>
    <row r="37" spans="2:6" ht="12.75">
      <c r="B37" s="32" t="s">
        <v>121</v>
      </c>
      <c r="C37" s="33">
        <f>23383.64/1000</f>
        <v>23.38364</v>
      </c>
      <c r="D37" s="24"/>
      <c r="E37" s="24"/>
      <c r="F37" s="24">
        <f t="shared" si="1"/>
        <v>23.38364</v>
      </c>
    </row>
    <row r="38" spans="2:6" ht="12.75">
      <c r="B38" s="23" t="s">
        <v>123</v>
      </c>
      <c r="C38" s="24">
        <f>28303.04/1000</f>
        <v>28.30304</v>
      </c>
      <c r="D38" s="24"/>
      <c r="E38" s="24"/>
      <c r="F38" s="24">
        <f t="shared" si="1"/>
        <v>28.30304</v>
      </c>
    </row>
    <row r="39" spans="2:6" ht="12.75">
      <c r="B39" s="23" t="s">
        <v>124</v>
      </c>
      <c r="C39" s="24">
        <f>15461.26/1000</f>
        <v>15.46126</v>
      </c>
      <c r="D39" s="24"/>
      <c r="E39" s="24"/>
      <c r="F39" s="24">
        <f t="shared" si="1"/>
        <v>15.46126</v>
      </c>
    </row>
    <row r="40" spans="2:6" ht="12.75">
      <c r="B40" s="23" t="s">
        <v>130</v>
      </c>
      <c r="C40" s="24">
        <v>24.15</v>
      </c>
      <c r="D40" s="24"/>
      <c r="E40" s="24"/>
      <c r="F40" s="24">
        <f t="shared" si="1"/>
        <v>24.15</v>
      </c>
    </row>
    <row r="41" spans="2:6" ht="12.75">
      <c r="B41" s="23" t="s">
        <v>107</v>
      </c>
      <c r="C41" s="25">
        <f>3181.81/1000-56289.83/1000+24689.79/1000+93199/1000+27269.19/1000-34590/1000+149182/1000+5516.63/1000+957.44/1000</f>
        <v>213.11602999999997</v>
      </c>
      <c r="D41" s="24"/>
      <c r="E41" s="24"/>
      <c r="F41" s="24">
        <f t="shared" si="1"/>
        <v>213.11602999999997</v>
      </c>
    </row>
    <row r="42" spans="2:6" ht="12.75">
      <c r="B42" s="23"/>
      <c r="C42" s="24"/>
      <c r="D42" s="24"/>
      <c r="E42" s="24"/>
      <c r="F42" s="24">
        <f t="shared" si="1"/>
        <v>0</v>
      </c>
    </row>
    <row r="43" spans="2:6" ht="12.75">
      <c r="B43" s="23"/>
      <c r="C43" s="24"/>
      <c r="D43" s="24"/>
      <c r="E43" s="24"/>
      <c r="F43" s="24">
        <f t="shared" si="1"/>
        <v>0</v>
      </c>
    </row>
    <row r="44" spans="2:6" ht="12.75">
      <c r="B44" s="3" t="s">
        <v>27</v>
      </c>
      <c r="C44" s="16">
        <f>SUM(C36:C43)</f>
        <v>417.97769999999997</v>
      </c>
      <c r="D44" s="16">
        <f>SUM(D36:D43)</f>
        <v>0</v>
      </c>
      <c r="E44" s="16">
        <f>SUM(E36:E43)</f>
        <v>0</v>
      </c>
      <c r="F44" s="16">
        <f>SUM(F36:F43)</f>
        <v>417.97769999999997</v>
      </c>
    </row>
    <row r="45" spans="2:6" ht="12.75">
      <c r="B45" s="2"/>
      <c r="C45" s="24"/>
      <c r="D45" s="24"/>
      <c r="E45" s="24"/>
      <c r="F45" s="24"/>
    </row>
    <row r="46" spans="2:6" ht="12.75">
      <c r="B46" s="3" t="s">
        <v>23</v>
      </c>
      <c r="C46" s="24"/>
      <c r="D46" s="24"/>
      <c r="E46" s="24"/>
      <c r="F46" s="24"/>
    </row>
    <row r="47" spans="2:6" ht="12.75">
      <c r="B47" s="3"/>
      <c r="C47" s="24"/>
      <c r="D47" s="24"/>
      <c r="E47" s="24"/>
      <c r="F47" s="24"/>
    </row>
    <row r="48" spans="2:6" ht="12.75">
      <c r="B48" s="3" t="s">
        <v>11</v>
      </c>
      <c r="C48" s="24"/>
      <c r="D48" s="24"/>
      <c r="E48" s="24"/>
      <c r="F48" s="24"/>
    </row>
    <row r="49" spans="2:6" ht="12.75">
      <c r="B49" s="3"/>
      <c r="C49" s="24"/>
      <c r="D49" s="24"/>
      <c r="E49" s="24"/>
      <c r="F49" s="24"/>
    </row>
    <row r="50" spans="2:6" ht="12.75">
      <c r="B50" s="3" t="s">
        <v>12</v>
      </c>
      <c r="C50" s="24">
        <f>+C9+C25+C33+C44</f>
        <v>3520.93167</v>
      </c>
      <c r="D50" s="24">
        <f>+D9+D25+D33+D44</f>
        <v>113.60862</v>
      </c>
      <c r="E50" s="24">
        <f>+E9+E25+E33+E44</f>
        <v>2.1679299999999997</v>
      </c>
      <c r="F50" s="24">
        <f>SUM(C50:E50)</f>
        <v>3636.70822</v>
      </c>
    </row>
    <row r="51" spans="2:6" ht="12.75">
      <c r="B51" s="3"/>
      <c r="C51" s="24"/>
      <c r="D51" s="24"/>
      <c r="E51" s="24"/>
      <c r="F51" s="24"/>
    </row>
    <row r="52" spans="2:6" ht="12.75">
      <c r="B52" s="3" t="str">
        <f>'נספח 1'!B39</f>
        <v>סך הכל נכסים לסוף תקופה קודמת</v>
      </c>
      <c r="C52" s="24">
        <v>14696292</v>
      </c>
      <c r="D52" s="24">
        <v>405688</v>
      </c>
      <c r="E52" s="24">
        <v>15098</v>
      </c>
      <c r="F52" s="24">
        <f>SUM(C52:E52)</f>
        <v>15117078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0"/>
  <sheetViews>
    <sheetView rightToLeft="1" zoomScalePageLayoutView="0" workbookViewId="0" topLeftCell="A72">
      <selection activeCell="D86" sqref="D86"/>
    </sheetView>
  </sheetViews>
  <sheetFormatPr defaultColWidth="9.140625" defaultRowHeight="12.75"/>
  <cols>
    <col min="2" max="2" width="74.8515625" style="36" bestFit="1" customWidth="1"/>
    <col min="3" max="3" width="12.7109375" style="0" customWidth="1"/>
    <col min="4" max="4" width="10.140625" style="0" customWidth="1"/>
    <col min="5" max="5" width="9.140625" style="0" customWidth="1"/>
    <col min="6" max="6" width="12.7109375" style="0" customWidth="1"/>
    <col min="9" max="9" width="6.57421875" style="0" bestFit="1" customWidth="1"/>
    <col min="10" max="10" width="37.421875" style="0" bestFit="1" customWidth="1"/>
    <col min="11" max="11" width="12.00390625" style="0" bestFit="1" customWidth="1"/>
  </cols>
  <sheetData>
    <row r="2" spans="2:3" ht="12.75">
      <c r="B2" s="13" t="s">
        <v>17</v>
      </c>
      <c r="C2" s="1"/>
    </row>
    <row r="3" spans="2:3" ht="12.75">
      <c r="B3" s="13" t="str">
        <f>'נספח 1'!B3</f>
        <v>01/09/2018-29/08/2019</v>
      </c>
      <c r="C3" s="1"/>
    </row>
    <row r="4" spans="3:6" ht="12.75">
      <c r="C4" s="17" t="s">
        <v>29</v>
      </c>
      <c r="D4" s="17" t="s">
        <v>30</v>
      </c>
      <c r="E4" s="17" t="s">
        <v>32</v>
      </c>
      <c r="F4" s="17" t="s">
        <v>31</v>
      </c>
    </row>
    <row r="5" spans="2:6" ht="21" customHeight="1">
      <c r="B5" s="37" t="str">
        <f>'נספח 1'!B5</f>
        <v>קרן השתלמות למורים וגננות - מאוחד</v>
      </c>
      <c r="C5" s="18" t="s">
        <v>6</v>
      </c>
      <c r="D5" s="18" t="s">
        <v>6</v>
      </c>
      <c r="E5" s="18" t="s">
        <v>6</v>
      </c>
      <c r="F5" s="18" t="s">
        <v>6</v>
      </c>
    </row>
    <row r="6" spans="2:6" ht="15">
      <c r="B6" s="37"/>
      <c r="C6" s="9"/>
      <c r="D6" s="9"/>
      <c r="E6" s="9"/>
      <c r="F6" s="9"/>
    </row>
    <row r="7" spans="2:6" ht="12.75">
      <c r="B7" s="31" t="s">
        <v>51</v>
      </c>
      <c r="C7" s="10"/>
      <c r="D7" s="10"/>
      <c r="E7" s="10"/>
      <c r="F7" s="10"/>
    </row>
    <row r="8" spans="2:6" ht="14.25">
      <c r="B8" s="38" t="s">
        <v>89</v>
      </c>
      <c r="C8" s="24">
        <v>1810.065034023649</v>
      </c>
      <c r="D8" s="24"/>
      <c r="E8" s="24"/>
      <c r="F8" s="25">
        <f aca="true" t="shared" si="0" ref="F8:F38">+C8+D8+E8</f>
        <v>1810.065034023649</v>
      </c>
    </row>
    <row r="9" spans="2:6" ht="14.25">
      <c r="B9" s="38" t="s">
        <v>100</v>
      </c>
      <c r="C9" s="24">
        <v>160.8218611111111</v>
      </c>
      <c r="D9" s="24"/>
      <c r="E9" s="24"/>
      <c r="F9" s="25">
        <f t="shared" si="0"/>
        <v>160.8218611111111</v>
      </c>
    </row>
    <row r="10" spans="2:6" ht="14.25">
      <c r="B10" s="38" t="s">
        <v>78</v>
      </c>
      <c r="C10" s="24">
        <v>203.39847316077007</v>
      </c>
      <c r="D10" s="24"/>
      <c r="E10" s="24"/>
      <c r="F10" s="25">
        <f t="shared" si="0"/>
        <v>203.39847316077007</v>
      </c>
    </row>
    <row r="11" spans="2:6" ht="14.25">
      <c r="B11" s="38" t="s">
        <v>66</v>
      </c>
      <c r="C11" s="24">
        <v>176.52748672222225</v>
      </c>
      <c r="D11" s="24"/>
      <c r="E11" s="24"/>
      <c r="F11" s="25">
        <f t="shared" si="0"/>
        <v>176.52748672222225</v>
      </c>
    </row>
    <row r="12" spans="2:6" ht="14.25">
      <c r="B12" s="38" t="s">
        <v>88</v>
      </c>
      <c r="C12" s="24">
        <v>71.070008024925</v>
      </c>
      <c r="D12" s="24"/>
      <c r="E12" s="24"/>
      <c r="F12" s="25">
        <f t="shared" si="0"/>
        <v>71.070008024925</v>
      </c>
    </row>
    <row r="13" spans="2:6" ht="14.25">
      <c r="B13" s="38" t="s">
        <v>87</v>
      </c>
      <c r="C13" s="24">
        <v>50.58300000000001</v>
      </c>
      <c r="D13" s="24"/>
      <c r="E13" s="24"/>
      <c r="F13" s="25">
        <f t="shared" si="0"/>
        <v>50.58300000000001</v>
      </c>
    </row>
    <row r="14" spans="2:6" ht="14.25">
      <c r="B14" s="38" t="s">
        <v>91</v>
      </c>
      <c r="C14" s="24">
        <v>730.8177819444444</v>
      </c>
      <c r="D14" s="24"/>
      <c r="E14" s="24"/>
      <c r="F14" s="25">
        <f t="shared" si="0"/>
        <v>730.8177819444444</v>
      </c>
    </row>
    <row r="15" spans="2:6" ht="14.25">
      <c r="B15" s="38" t="s">
        <v>108</v>
      </c>
      <c r="C15" s="24">
        <v>639.02629</v>
      </c>
      <c r="D15" s="24"/>
      <c r="E15" s="24"/>
      <c r="F15" s="25">
        <f t="shared" si="0"/>
        <v>639.02629</v>
      </c>
    </row>
    <row r="16" spans="2:6" ht="14.25">
      <c r="B16" s="38" t="s">
        <v>68</v>
      </c>
      <c r="C16" s="24">
        <v>58.38268864510273</v>
      </c>
      <c r="D16" s="24"/>
      <c r="E16" s="24"/>
      <c r="F16" s="25">
        <f t="shared" si="0"/>
        <v>58.38268864510273</v>
      </c>
    </row>
    <row r="17" spans="2:6" ht="14.25">
      <c r="B17" s="38" t="s">
        <v>85</v>
      </c>
      <c r="C17" s="24">
        <v>20.714499999999994</v>
      </c>
      <c r="D17" s="24"/>
      <c r="E17" s="24"/>
      <c r="F17" s="25">
        <f t="shared" si="0"/>
        <v>20.714499999999994</v>
      </c>
    </row>
    <row r="18" spans="2:6" ht="14.25">
      <c r="B18" s="38" t="s">
        <v>86</v>
      </c>
      <c r="C18" s="24">
        <v>427.35</v>
      </c>
      <c r="D18" s="24"/>
      <c r="E18" s="24"/>
      <c r="F18" s="25">
        <f t="shared" si="0"/>
        <v>427.35</v>
      </c>
    </row>
    <row r="19" spans="2:6" ht="14.25">
      <c r="B19" s="38" t="s">
        <v>90</v>
      </c>
      <c r="C19" s="24">
        <v>209.03003333333336</v>
      </c>
      <c r="D19" s="24"/>
      <c r="E19" s="24"/>
      <c r="F19" s="25">
        <f t="shared" si="0"/>
        <v>209.03003333333336</v>
      </c>
    </row>
    <row r="20" spans="2:6" ht="14.25">
      <c r="B20" s="38" t="s">
        <v>109</v>
      </c>
      <c r="C20" s="24">
        <v>12.728704513684214</v>
      </c>
      <c r="D20" s="24"/>
      <c r="E20" s="24"/>
      <c r="F20" s="25">
        <f t="shared" si="0"/>
        <v>12.728704513684214</v>
      </c>
    </row>
    <row r="21" spans="2:6" ht="14.25">
      <c r="B21" s="38" t="s">
        <v>125</v>
      </c>
      <c r="C21" s="24">
        <v>21.839137833333332</v>
      </c>
      <c r="D21" s="24"/>
      <c r="E21" s="24"/>
      <c r="F21" s="25">
        <f t="shared" si="0"/>
        <v>21.839137833333332</v>
      </c>
    </row>
    <row r="22" spans="2:6" ht="12.75">
      <c r="B22" s="34" t="s">
        <v>82</v>
      </c>
      <c r="C22" s="24">
        <v>468.8990032222223</v>
      </c>
      <c r="D22" s="24"/>
      <c r="E22" s="24"/>
      <c r="F22" s="25">
        <f t="shared" si="0"/>
        <v>468.8990032222223</v>
      </c>
    </row>
    <row r="23" spans="2:6" ht="12.75">
      <c r="B23" s="34" t="s">
        <v>103</v>
      </c>
      <c r="C23" s="24">
        <v>70.77052832110093</v>
      </c>
      <c r="D23" s="24"/>
      <c r="E23" s="24"/>
      <c r="F23" s="25">
        <f t="shared" si="0"/>
        <v>70.77052832110093</v>
      </c>
    </row>
    <row r="24" spans="2:6" ht="14.25">
      <c r="B24" s="38" t="s">
        <v>121</v>
      </c>
      <c r="C24" s="24">
        <v>27.14245075848546</v>
      </c>
      <c r="D24" s="24"/>
      <c r="E24" s="24"/>
      <c r="F24" s="25">
        <f t="shared" si="0"/>
        <v>27.14245075848546</v>
      </c>
    </row>
    <row r="25" spans="2:6" ht="14.25">
      <c r="B25" s="38" t="s">
        <v>70</v>
      </c>
      <c r="C25" s="24">
        <v>210.31793688888888</v>
      </c>
      <c r="D25" s="24"/>
      <c r="E25" s="24"/>
      <c r="F25" s="25">
        <f t="shared" si="0"/>
        <v>210.31793688888888</v>
      </c>
    </row>
    <row r="26" spans="2:6" ht="14.25">
      <c r="B26" s="38" t="s">
        <v>94</v>
      </c>
      <c r="C26" s="24">
        <v>119.17347838121013</v>
      </c>
      <c r="D26" s="24"/>
      <c r="E26" s="24"/>
      <c r="F26" s="25">
        <f t="shared" si="0"/>
        <v>119.17347838121013</v>
      </c>
    </row>
    <row r="27" spans="2:6" ht="14.25">
      <c r="B27" s="38" t="s">
        <v>122</v>
      </c>
      <c r="C27" s="24">
        <v>434.4813835704167</v>
      </c>
      <c r="D27" s="24"/>
      <c r="E27" s="24"/>
      <c r="F27" s="25">
        <f t="shared" si="0"/>
        <v>434.4813835704167</v>
      </c>
    </row>
    <row r="28" spans="2:6" ht="14.25">
      <c r="B28" s="38" t="s">
        <v>95</v>
      </c>
      <c r="C28" s="24">
        <v>291.73531495834084</v>
      </c>
      <c r="D28" s="24"/>
      <c r="E28" s="24"/>
      <c r="F28" s="25">
        <f t="shared" si="0"/>
        <v>291.73531495834084</v>
      </c>
    </row>
    <row r="29" spans="2:6" ht="14.25">
      <c r="B29" s="38" t="s">
        <v>77</v>
      </c>
      <c r="C29" s="24">
        <v>549.3003061333334</v>
      </c>
      <c r="D29" s="24"/>
      <c r="E29" s="24"/>
      <c r="F29" s="25">
        <f t="shared" si="0"/>
        <v>549.3003061333334</v>
      </c>
    </row>
    <row r="30" spans="2:6" ht="14.25">
      <c r="B30" s="38" t="s">
        <v>69</v>
      </c>
      <c r="C30" s="24">
        <v>9.949563555555557</v>
      </c>
      <c r="D30" s="24"/>
      <c r="E30" s="24"/>
      <c r="F30" s="25">
        <f t="shared" si="0"/>
        <v>9.949563555555557</v>
      </c>
    </row>
    <row r="31" spans="2:6" ht="14.25">
      <c r="B31" s="38" t="s">
        <v>84</v>
      </c>
      <c r="C31" s="24">
        <v>902.826652</v>
      </c>
      <c r="D31" s="24"/>
      <c r="E31" s="24"/>
      <c r="F31" s="25">
        <f t="shared" si="0"/>
        <v>902.826652</v>
      </c>
    </row>
    <row r="32" spans="2:6" ht="14.25">
      <c r="B32" s="38" t="s">
        <v>110</v>
      </c>
      <c r="C32" s="24">
        <v>240.31900000000002</v>
      </c>
      <c r="D32" s="24"/>
      <c r="E32" s="24"/>
      <c r="F32" s="25">
        <f t="shared" si="0"/>
        <v>240.31900000000002</v>
      </c>
    </row>
    <row r="33" spans="2:6" ht="14.25">
      <c r="B33" s="38" t="s">
        <v>131</v>
      </c>
      <c r="C33" s="24">
        <v>86.68905125</v>
      </c>
      <c r="D33" s="24"/>
      <c r="E33" s="24"/>
      <c r="F33" s="25">
        <f t="shared" si="0"/>
        <v>86.68905125</v>
      </c>
    </row>
    <row r="34" spans="2:6" ht="14.25">
      <c r="B34" s="38" t="s">
        <v>71</v>
      </c>
      <c r="C34" s="24">
        <v>421.6405324444445</v>
      </c>
      <c r="D34" s="24"/>
      <c r="E34" s="24"/>
      <c r="F34" s="25">
        <f t="shared" si="0"/>
        <v>421.6405324444445</v>
      </c>
    </row>
    <row r="35" spans="2:6" ht="14.25">
      <c r="B35" s="38" t="s">
        <v>67</v>
      </c>
      <c r="C35" s="24">
        <v>281.67366666666663</v>
      </c>
      <c r="D35" s="24"/>
      <c r="E35" s="24"/>
      <c r="F35" s="25">
        <f t="shared" si="0"/>
        <v>281.67366666666663</v>
      </c>
    </row>
    <row r="36" spans="2:6" ht="14.25">
      <c r="B36" s="38" t="s">
        <v>93</v>
      </c>
      <c r="C36" s="24">
        <v>144.0865833333333</v>
      </c>
      <c r="D36" s="24"/>
      <c r="E36" s="24"/>
      <c r="F36" s="25">
        <f t="shared" si="0"/>
        <v>144.0865833333333</v>
      </c>
    </row>
    <row r="37" spans="2:6" ht="14.25">
      <c r="B37" s="38" t="s">
        <v>83</v>
      </c>
      <c r="C37" s="24">
        <v>86.47733333333335</v>
      </c>
      <c r="D37" s="24"/>
      <c r="E37" s="24"/>
      <c r="F37" s="25">
        <f t="shared" si="0"/>
        <v>86.47733333333335</v>
      </c>
    </row>
    <row r="38" spans="2:7" ht="14.25">
      <c r="B38" s="38"/>
      <c r="C38" s="24"/>
      <c r="D38" s="24"/>
      <c r="E38" s="24"/>
      <c r="F38" s="25">
        <f t="shared" si="0"/>
        <v>0</v>
      </c>
      <c r="G38">
        <v>0</v>
      </c>
    </row>
    <row r="39" spans="2:6" ht="12.75">
      <c r="B39" s="31" t="s">
        <v>41</v>
      </c>
      <c r="C39" s="16">
        <f>SUM(C8:C38)</f>
        <v>8937.83778412991</v>
      </c>
      <c r="D39" s="16">
        <f>SUM(D8:D26)</f>
        <v>0</v>
      </c>
      <c r="E39" s="16">
        <f>SUM(E8:E26)</f>
        <v>0</v>
      </c>
      <c r="F39" s="16">
        <f>SUM(F8:F38)</f>
        <v>8937.83778412991</v>
      </c>
    </row>
    <row r="40" spans="2:6" ht="12.75">
      <c r="B40" s="31"/>
      <c r="C40" s="24"/>
      <c r="D40" s="24"/>
      <c r="E40" s="24"/>
      <c r="F40" s="25"/>
    </row>
    <row r="41" spans="2:6" ht="12.75">
      <c r="B41" s="31" t="s">
        <v>52</v>
      </c>
      <c r="C41" s="24"/>
      <c r="D41" s="24"/>
      <c r="E41" s="24"/>
      <c r="F41" s="25"/>
    </row>
    <row r="42" spans="2:6" ht="14.25">
      <c r="B42" s="29" t="s">
        <v>111</v>
      </c>
      <c r="C42" s="24">
        <v>424.9166501603644</v>
      </c>
      <c r="D42" s="24"/>
      <c r="E42" s="24"/>
      <c r="F42" s="25">
        <f aca="true" t="shared" si="1" ref="F42:F64">+C42+D42+E42</f>
        <v>424.9166501603644</v>
      </c>
    </row>
    <row r="43" spans="2:6" ht="14.25">
      <c r="B43" s="29" t="s">
        <v>112</v>
      </c>
      <c r="C43" s="24">
        <v>414.92259746</v>
      </c>
      <c r="D43" s="24"/>
      <c r="E43" s="24"/>
      <c r="F43" s="25">
        <f t="shared" si="1"/>
        <v>414.92259746</v>
      </c>
    </row>
    <row r="44" spans="2:6" ht="14.25">
      <c r="B44" s="29" t="s">
        <v>113</v>
      </c>
      <c r="C44" s="24">
        <v>118.981364726</v>
      </c>
      <c r="D44" s="24"/>
      <c r="E44" s="24"/>
      <c r="F44" s="25">
        <f t="shared" si="1"/>
        <v>118.981364726</v>
      </c>
    </row>
    <row r="45" spans="2:6" ht="14.25">
      <c r="B45" s="29" t="s">
        <v>99</v>
      </c>
      <c r="C45" s="24">
        <v>641.9555632102083</v>
      </c>
      <c r="D45" s="24"/>
      <c r="E45" s="24"/>
      <c r="F45" s="25">
        <f t="shared" si="1"/>
        <v>641.9555632102083</v>
      </c>
    </row>
    <row r="46" spans="2:6" ht="14.25">
      <c r="B46" s="29" t="s">
        <v>102</v>
      </c>
      <c r="C46" s="24">
        <v>311.935843257472</v>
      </c>
      <c r="D46" s="24"/>
      <c r="E46" s="24"/>
      <c r="F46" s="25">
        <f t="shared" si="1"/>
        <v>311.935843257472</v>
      </c>
    </row>
    <row r="47" spans="2:6" ht="14.25">
      <c r="B47" s="29" t="s">
        <v>126</v>
      </c>
      <c r="C47" s="24">
        <v>418.3855449725</v>
      </c>
      <c r="D47" s="24"/>
      <c r="E47" s="24"/>
      <c r="F47" s="25">
        <f t="shared" si="1"/>
        <v>418.3855449725</v>
      </c>
    </row>
    <row r="48" spans="2:6" ht="14.25">
      <c r="B48" s="29" t="s">
        <v>92</v>
      </c>
      <c r="C48" s="24">
        <v>434.5117435555555</v>
      </c>
      <c r="D48" s="24"/>
      <c r="E48" s="24"/>
      <c r="F48" s="25">
        <f t="shared" si="1"/>
        <v>434.5117435555555</v>
      </c>
    </row>
    <row r="49" spans="2:6" ht="14.25">
      <c r="B49" s="29" t="s">
        <v>114</v>
      </c>
      <c r="C49" s="24">
        <v>420.55016128098003</v>
      </c>
      <c r="D49" s="24"/>
      <c r="E49" s="24"/>
      <c r="F49" s="25">
        <f t="shared" si="1"/>
        <v>420.55016128098003</v>
      </c>
    </row>
    <row r="50" spans="2:6" ht="14.25">
      <c r="B50" s="29" t="s">
        <v>119</v>
      </c>
      <c r="C50" s="24">
        <v>16.07200850077929</v>
      </c>
      <c r="D50" s="24"/>
      <c r="E50" s="24"/>
      <c r="F50" s="25">
        <f t="shared" si="1"/>
        <v>16.07200850077929</v>
      </c>
    </row>
    <row r="51" spans="2:6" ht="14.25">
      <c r="B51" s="29" t="s">
        <v>115</v>
      </c>
      <c r="C51" s="24">
        <v>121.601731335</v>
      </c>
      <c r="D51" s="24"/>
      <c r="E51" s="24"/>
      <c r="F51" s="25">
        <f t="shared" si="1"/>
        <v>121.601731335</v>
      </c>
    </row>
    <row r="52" spans="2:6" ht="14.25">
      <c r="B52" s="29" t="s">
        <v>127</v>
      </c>
      <c r="C52" s="40">
        <v>1569</v>
      </c>
      <c r="D52" s="24"/>
      <c r="E52" s="24"/>
      <c r="F52" s="25">
        <f t="shared" si="1"/>
        <v>1569</v>
      </c>
    </row>
    <row r="53" spans="2:6" ht="14.25">
      <c r="B53" s="29" t="s">
        <v>120</v>
      </c>
      <c r="C53" s="24">
        <v>67.94087971846707</v>
      </c>
      <c r="D53" s="24"/>
      <c r="E53" s="24"/>
      <c r="F53" s="25">
        <f t="shared" si="1"/>
        <v>67.94087971846707</v>
      </c>
    </row>
    <row r="54" spans="2:6" ht="14.25">
      <c r="B54" s="29" t="s">
        <v>65</v>
      </c>
      <c r="C54" s="24">
        <v>403.2185490223138</v>
      </c>
      <c r="D54" s="24"/>
      <c r="E54" s="24"/>
      <c r="F54" s="25">
        <f t="shared" si="1"/>
        <v>403.2185490223138</v>
      </c>
    </row>
    <row r="55" spans="2:6" ht="14.25">
      <c r="B55" s="29" t="s">
        <v>63</v>
      </c>
      <c r="C55" s="24">
        <v>272.8975948096305</v>
      </c>
      <c r="D55" s="24"/>
      <c r="E55" s="24"/>
      <c r="F55" s="25">
        <f t="shared" si="1"/>
        <v>272.8975948096305</v>
      </c>
    </row>
    <row r="56" spans="2:6" ht="14.25">
      <c r="B56" s="29" t="s">
        <v>116</v>
      </c>
      <c r="C56" s="24">
        <v>357.3449402018539</v>
      </c>
      <c r="D56" s="24"/>
      <c r="E56" s="24"/>
      <c r="F56" s="25">
        <f t="shared" si="1"/>
        <v>357.3449402018539</v>
      </c>
    </row>
    <row r="57" spans="2:6" ht="14.25">
      <c r="B57" s="29" t="s">
        <v>97</v>
      </c>
      <c r="C57" s="24">
        <v>298.7740507315358</v>
      </c>
      <c r="D57" s="24"/>
      <c r="E57" s="24"/>
      <c r="F57" s="25">
        <f t="shared" si="1"/>
        <v>298.7740507315358</v>
      </c>
    </row>
    <row r="58" spans="2:6" ht="14.25">
      <c r="B58" s="29" t="s">
        <v>98</v>
      </c>
      <c r="C58" s="24">
        <v>206.3219931111111</v>
      </c>
      <c r="D58" s="24"/>
      <c r="E58" s="24"/>
      <c r="F58" s="25">
        <f t="shared" si="1"/>
        <v>206.3219931111111</v>
      </c>
    </row>
    <row r="59" spans="2:6" ht="14.25">
      <c r="B59" s="29" t="s">
        <v>80</v>
      </c>
      <c r="C59" s="24">
        <v>361.16756088</v>
      </c>
      <c r="D59" s="24"/>
      <c r="E59" s="24"/>
      <c r="F59" s="25">
        <f t="shared" si="1"/>
        <v>361.16756088</v>
      </c>
    </row>
    <row r="60" spans="2:6" ht="14.25">
      <c r="B60" s="29" t="s">
        <v>96</v>
      </c>
      <c r="C60" s="24">
        <v>300.4465998389037</v>
      </c>
      <c r="D60" s="24"/>
      <c r="E60" s="24"/>
      <c r="F60" s="25">
        <f t="shared" si="1"/>
        <v>300.4465998389037</v>
      </c>
    </row>
    <row r="61" spans="2:6" ht="14.25">
      <c r="B61" s="29" t="s">
        <v>64</v>
      </c>
      <c r="C61" s="24">
        <v>26.27167546888889</v>
      </c>
      <c r="D61" s="24"/>
      <c r="E61" s="24"/>
      <c r="F61" s="25">
        <f t="shared" si="1"/>
        <v>26.27167546888889</v>
      </c>
    </row>
    <row r="62" spans="2:6" ht="14.25">
      <c r="B62" s="29" t="s">
        <v>117</v>
      </c>
      <c r="C62" s="24">
        <v>269.335374</v>
      </c>
      <c r="D62" s="24"/>
      <c r="E62" s="24"/>
      <c r="F62" s="25">
        <f t="shared" si="1"/>
        <v>269.335374</v>
      </c>
    </row>
    <row r="63" spans="2:6" ht="14.25">
      <c r="B63" s="29" t="s">
        <v>101</v>
      </c>
      <c r="C63" s="24">
        <v>346.1866424244048</v>
      </c>
      <c r="D63" s="24"/>
      <c r="E63" s="24"/>
      <c r="F63" s="25">
        <f t="shared" si="1"/>
        <v>346.1866424244048</v>
      </c>
    </row>
    <row r="64" spans="2:6" ht="14.25">
      <c r="B64" s="29" t="s">
        <v>79</v>
      </c>
      <c r="C64" s="24">
        <v>450.84761866666656</v>
      </c>
      <c r="D64" s="24"/>
      <c r="E64" s="24"/>
      <c r="F64" s="25">
        <f t="shared" si="1"/>
        <v>450.84761866666656</v>
      </c>
    </row>
    <row r="65" spans="2:6" ht="14.25">
      <c r="B65" s="29"/>
      <c r="C65" s="24"/>
      <c r="D65" s="24"/>
      <c r="E65" s="24"/>
      <c r="F65" s="25"/>
    </row>
    <row r="66" spans="2:6" ht="14.25">
      <c r="B66" s="29"/>
      <c r="C66" s="24"/>
      <c r="D66" s="24"/>
      <c r="E66" s="24"/>
      <c r="F66" s="25"/>
    </row>
    <row r="67" spans="2:6" ht="14.25">
      <c r="B67" s="29"/>
      <c r="C67" s="24"/>
      <c r="D67" s="24"/>
      <c r="E67" s="24"/>
      <c r="F67" s="25">
        <f>+C67+D67+E67</f>
        <v>0</v>
      </c>
    </row>
    <row r="68" spans="2:6" ht="12.75">
      <c r="B68" s="31" t="s">
        <v>42</v>
      </c>
      <c r="C68" s="16">
        <f>SUM(C42:C67)</f>
        <v>8253.586687332634</v>
      </c>
      <c r="D68" s="16">
        <f>SUM(D42:D59)</f>
        <v>0</v>
      </c>
      <c r="E68" s="16">
        <f>SUM(E42:E59)</f>
        <v>0</v>
      </c>
      <c r="F68" s="16">
        <f>SUM(F42:F67)</f>
        <v>8253.586687332634</v>
      </c>
    </row>
    <row r="69" spans="2:6" ht="12.75">
      <c r="B69" s="12"/>
      <c r="C69" s="24"/>
      <c r="D69" s="24"/>
      <c r="E69" s="24"/>
      <c r="F69" s="25"/>
    </row>
    <row r="70" spans="2:6" ht="12.75">
      <c r="B70" s="39" t="s">
        <v>28</v>
      </c>
      <c r="C70" s="16">
        <f>+C39+C68</f>
        <v>17191.424471462546</v>
      </c>
      <c r="D70" s="16">
        <f>+D39+D68</f>
        <v>0</v>
      </c>
      <c r="E70" s="16">
        <f>+E39+E68</f>
        <v>0</v>
      </c>
      <c r="F70" s="16">
        <f>SUM(C70:E70)</f>
        <v>17191.424471462546</v>
      </c>
    </row>
    <row r="71" spans="2:6" ht="12.75">
      <c r="B71" s="11"/>
      <c r="C71" s="24"/>
      <c r="D71" s="24"/>
      <c r="E71" s="24"/>
      <c r="F71" s="24"/>
    </row>
    <row r="72" spans="2:6" ht="12.75">
      <c r="B72" s="31" t="s">
        <v>24</v>
      </c>
      <c r="C72" s="24"/>
      <c r="D72" s="24"/>
      <c r="E72" s="24"/>
      <c r="F72" s="24"/>
    </row>
    <row r="73" spans="2:6" ht="12.75">
      <c r="B73" s="39" t="s">
        <v>4</v>
      </c>
      <c r="C73" s="24"/>
      <c r="D73" s="24"/>
      <c r="E73" s="24"/>
      <c r="F73" s="24"/>
    </row>
    <row r="74" spans="2:6" ht="12.75">
      <c r="B74" s="11"/>
      <c r="C74" s="24"/>
      <c r="D74" s="24"/>
      <c r="E74" s="24"/>
      <c r="F74" s="24"/>
    </row>
    <row r="75" spans="2:6" ht="12.75">
      <c r="B75" s="31" t="s">
        <v>53</v>
      </c>
      <c r="C75" s="24"/>
      <c r="D75" s="24"/>
      <c r="E75" s="24"/>
      <c r="F75" s="24"/>
    </row>
    <row r="76" spans="2:6" ht="12.75">
      <c r="B76" s="39" t="s">
        <v>13</v>
      </c>
      <c r="C76" s="24"/>
      <c r="D76" s="24"/>
      <c r="E76" s="24"/>
      <c r="F76" s="24"/>
    </row>
    <row r="77" spans="2:6" ht="12.75">
      <c r="B77" s="11"/>
      <c r="C77" s="24"/>
      <c r="D77" s="24"/>
      <c r="E77" s="24"/>
      <c r="F77" s="24"/>
    </row>
    <row r="78" spans="2:6" ht="12.75">
      <c r="B78" s="31" t="s">
        <v>14</v>
      </c>
      <c r="C78" s="24"/>
      <c r="D78" s="24"/>
      <c r="E78" s="24"/>
      <c r="F78" s="24"/>
    </row>
    <row r="79" spans="2:6" ht="12.75">
      <c r="B79" s="31" t="s">
        <v>25</v>
      </c>
      <c r="C79" s="24">
        <f>356970.286626877/1000</f>
        <v>356.970286626877</v>
      </c>
      <c r="D79" s="24"/>
      <c r="E79" s="24"/>
      <c r="F79" s="24"/>
    </row>
    <row r="80" spans="2:6" ht="12.75">
      <c r="B80" s="39" t="s">
        <v>26</v>
      </c>
      <c r="C80" s="24">
        <f>3274909.36205829/1000</f>
        <v>3274.90936205829</v>
      </c>
      <c r="D80" s="24">
        <f>54129.1142279863/1000</f>
        <v>54.1291142279863</v>
      </c>
      <c r="E80" s="24">
        <f>3277.40075355069/1000</f>
        <v>3.27740075355069</v>
      </c>
      <c r="F80" s="25">
        <f>+C80+D80+E80</f>
        <v>3332.3158770398272</v>
      </c>
    </row>
    <row r="81" spans="2:6" ht="12.75">
      <c r="B81" s="31" t="s">
        <v>54</v>
      </c>
      <c r="C81" s="24"/>
      <c r="D81" s="24"/>
      <c r="E81" s="24"/>
      <c r="F81" s="24"/>
    </row>
    <row r="82" spans="2:6" ht="12.75">
      <c r="B82" s="39"/>
      <c r="C82" s="24"/>
      <c r="D82" s="24"/>
      <c r="E82" s="24"/>
      <c r="F82" s="24"/>
    </row>
    <row r="83" spans="2:6" ht="12.75">
      <c r="B83" s="39" t="s">
        <v>55</v>
      </c>
      <c r="C83" s="24"/>
      <c r="D83" s="24"/>
      <c r="E83" s="24"/>
      <c r="F83" s="24"/>
    </row>
    <row r="84" spans="2:8" ht="12.75">
      <c r="B84" s="39" t="s">
        <v>56</v>
      </c>
      <c r="C84" s="24">
        <v>-1238.8402274743041</v>
      </c>
      <c r="D84" s="24">
        <v>-45.19861109515617</v>
      </c>
      <c r="E84" s="24"/>
      <c r="F84" s="25">
        <f>+C84+D84+E84</f>
        <v>-1284.0388385694603</v>
      </c>
      <c r="H84" s="27"/>
    </row>
    <row r="85" spans="2:6" ht="12.75">
      <c r="B85" s="39" t="s">
        <v>57</v>
      </c>
      <c r="C85" s="24">
        <v>2061.271987242922</v>
      </c>
      <c r="D85" s="24">
        <f>98.2626221571781+1</f>
        <v>99.2626221571781</v>
      </c>
      <c r="E85" s="24">
        <v>-0.09711</v>
      </c>
      <c r="F85" s="25">
        <f>+C85+D85+E85</f>
        <v>2160.4374994001</v>
      </c>
    </row>
    <row r="86" spans="2:6" ht="12.75">
      <c r="B86" s="39" t="s">
        <v>58</v>
      </c>
      <c r="C86" s="16">
        <f>SUM(C84:C85)</f>
        <v>822.4317597686179</v>
      </c>
      <c r="D86" s="16">
        <f>SUM(D84:D85)</f>
        <v>54.06401106202193</v>
      </c>
      <c r="E86" s="16">
        <f>SUM(E84:E85)</f>
        <v>-0.09711</v>
      </c>
      <c r="F86" s="16">
        <f>SUM(C86:E86)</f>
        <v>876.3986608306398</v>
      </c>
    </row>
    <row r="87" spans="2:6" ht="12.75">
      <c r="B87" s="31"/>
      <c r="C87" s="16"/>
      <c r="D87" s="16"/>
      <c r="E87" s="16"/>
      <c r="F87" s="16"/>
    </row>
    <row r="88" spans="2:6" ht="12.75">
      <c r="B88" s="31" t="s">
        <v>15</v>
      </c>
      <c r="C88" s="16">
        <f>+C86+C70+C80</f>
        <v>21288.765593289452</v>
      </c>
      <c r="D88" s="16">
        <f>+D86+D70+D80</f>
        <v>108.19312529000823</v>
      </c>
      <c r="E88" s="16">
        <f>+E86+E70+E80</f>
        <v>3.18029075355069</v>
      </c>
      <c r="F88" s="16">
        <f>SUM(C88:E88)</f>
        <v>21400.13900933301</v>
      </c>
    </row>
    <row r="89" spans="2:6" ht="12.75">
      <c r="B89" s="31"/>
      <c r="C89" s="16"/>
      <c r="D89" s="16"/>
      <c r="E89" s="16"/>
      <c r="F89" s="16"/>
    </row>
    <row r="90" spans="2:6" ht="12.75">
      <c r="B90" s="31" t="str">
        <f>'נספח 1'!B39</f>
        <v>סך הכל נכסים לסוף תקופה קודמת</v>
      </c>
      <c r="C90" s="16">
        <f>'נספח 1'!C39</f>
        <v>14765787</v>
      </c>
      <c r="D90" s="16">
        <f>'נספח 1'!D39</f>
        <v>405863</v>
      </c>
      <c r="E90" s="16">
        <f>'נספח 1'!E39</f>
        <v>15135</v>
      </c>
      <c r="F90" s="16">
        <f>SUM(C90:E90)</f>
        <v>15186785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Revital Kibel</cp:lastModifiedBy>
  <cp:lastPrinted>2019-11-05T09:26:54Z</cp:lastPrinted>
  <dcterms:created xsi:type="dcterms:W3CDTF">2008-07-07T10:52:30Z</dcterms:created>
  <dcterms:modified xsi:type="dcterms:W3CDTF">2019-11-25T07:53:56Z</dcterms:modified>
  <cp:category/>
  <cp:version/>
  <cp:contentType/>
  <cp:contentStatus/>
</cp:coreProperties>
</file>