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0"/>
  </bookViews>
  <sheets>
    <sheet name="נספח 1" sheetId="1" r:id="rId1"/>
    <sheet name="נספח 2" sheetId="2" r:id="rId2"/>
    <sheet name="נספח 3" sheetId="3" r:id="rId3"/>
  </sheets>
  <definedNames>
    <definedName name="_xlnm.Print_Area" localSheetId="1">'נספח 2'!$A:$C</definedName>
  </definedNames>
  <calcPr fullCalcOnLoad="1"/>
</workbook>
</file>

<file path=xl/sharedStrings.xml><?xml version="1.0" encoding="utf-8"?>
<sst xmlns="http://schemas.openxmlformats.org/spreadsheetml/2006/main" count="155" uniqueCount="129">
  <si>
    <t xml:space="preserve">סך עמלות ברוקראז לצדדים שאינם קשורים </t>
  </si>
  <si>
    <t xml:space="preserve">סך עמלות ברוקראז לצדדים  קשורים </t>
  </si>
  <si>
    <t xml:space="preserve">סך עמלות קסטודיאן לצדדים קשורים </t>
  </si>
  <si>
    <t xml:space="preserve">סך עמלות קסטודיאן לצדדים שאינם קשורים </t>
  </si>
  <si>
    <t>סך תשלומים למנהלי תיקים ישראליים</t>
  </si>
  <si>
    <t>סך הכול הוצאות ישירות</t>
  </si>
  <si>
    <t>אלפי ₪</t>
  </si>
  <si>
    <t xml:space="preserve">ברוקראז- עמלות קנייה ומכירה בגין ביצוע עסקאות בנירות  ערך סחרים </t>
  </si>
  <si>
    <t>סך עמלות ברוקראז</t>
  </si>
  <si>
    <t>עמלות קסטודיאן</t>
  </si>
  <si>
    <t>סך עמלות קסטודיאן</t>
  </si>
  <si>
    <t>סך הוצאות הנובעות מהשקעה בזכויות במקרקעין</t>
  </si>
  <si>
    <t>סך כל עמלות והוצאות</t>
  </si>
  <si>
    <t>סך תשלומים למנהלי תיקים זרים</t>
  </si>
  <si>
    <t>תשלום בגין השקעה בקרן נאמנות</t>
  </si>
  <si>
    <t>סך הכול עמלות ניהול חיצוני</t>
  </si>
  <si>
    <t>הבנק הבינלאומי הראשון לישראל בע"מ</t>
  </si>
  <si>
    <t>נספח 3 - פירוט עמלות ווניהול חיצוני לתקופה :</t>
  </si>
  <si>
    <t>נספח 2 - פירוט עמלות והוצאות לתקופה :</t>
  </si>
  <si>
    <t>נספח 1 - סך התשלומים ששולמו בגין כל סוג של הוצאה ישירה לתקופה :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</si>
  <si>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</si>
  <si>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</si>
  <si>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</si>
  <si>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</si>
  <si>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r>
      <t>תשלום למנהל תיקים ישראל</t>
    </r>
    <r>
      <rPr>
        <sz val="10"/>
        <rFont val="Arial"/>
        <family val="0"/>
      </rPr>
      <t>י :</t>
    </r>
  </si>
  <si>
    <t>א. קרן נאמנות ישראלית :</t>
  </si>
  <si>
    <t>ב. קרן חוץ :</t>
  </si>
  <si>
    <t>סך הוצאות הנובעות מהשקעה בניירות ערך לא סחירים וממתן הלוואה</t>
  </si>
  <si>
    <t>סך התשלומים הנובעים מהשקעה בקרנות השקעה</t>
  </si>
  <si>
    <t>כללי</t>
  </si>
  <si>
    <t>הלכתי</t>
  </si>
  <si>
    <t>סה"כ</t>
  </si>
  <si>
    <t>ללא מניות</t>
  </si>
  <si>
    <t>סך הכל נכסים לסוף תקופה קודמת</t>
  </si>
  <si>
    <t>סה"כ עמלות קניה ומכירה</t>
  </si>
  <si>
    <t>סה"כ עמלות קסטודיאן</t>
  </si>
  <si>
    <t>סה"כ 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</si>
  <si>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</si>
  <si>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</si>
  <si>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סך הוצאות הנובעות מהשקעה בזכויות מקרקעין</t>
  </si>
  <si>
    <t>סה"כ עמלות ניהול חיצוני</t>
  </si>
  <si>
    <t>סך תשלום הנובע מהשקעה בקרנות  השקעה בישראל</t>
  </si>
  <si>
    <t>סך תשלום הנובע מהשקעה בקרנות  השקעה בחול</t>
  </si>
  <si>
    <t>תשלום בגין השקעה בקרן נאמנות בישראל</t>
  </si>
  <si>
    <t>תשלום בגין השקעה בקרן נאמנות בחול</t>
  </si>
  <si>
    <t>סך הכל עמלות בגין תשלום השקעה בתעודת סל בישראל</t>
  </si>
  <si>
    <t>סך הכל עמלות בגין תשלום השקעה בתעודת סל בחול</t>
  </si>
  <si>
    <t>סה"כ הוצאות אחרות</t>
  </si>
  <si>
    <t>סך הוצאות בעד ניהול תביעות</t>
  </si>
  <si>
    <t>סך הוצאות בעד מתן משכנתאות</t>
  </si>
  <si>
    <t>שיעור סך ההוצאות הישירות, שההוצאה בגינן מוגבלת לשיעור של 0.25% לפי התקנות (באחוזים) (סיכום סעיפים 3א,4, 5ב חלקי סך נכסים)</t>
  </si>
  <si>
    <t>שיעור סך הוצאות ישירות מסך נכסים לסוף שנה קודמת (באחוזים) (סעיף 6 חלקי סך נכסים לתום שנה קודמת)</t>
  </si>
  <si>
    <t>תשלום הנובע מהשקעה בקרנות  השקעה בישראל</t>
  </si>
  <si>
    <t>תשלום הנובע מהשקעה בקרנות  השקעה בחול</t>
  </si>
  <si>
    <t>תשלום למנהל תיקים זרים :</t>
  </si>
  <si>
    <t>סך התשלום בגין השקעה בקרן נאמנות</t>
  </si>
  <si>
    <t>תשלום בגין השקעה בתעודות סל</t>
  </si>
  <si>
    <t>תעודות סל ישראלית</t>
  </si>
  <si>
    <t>תעודות סל זרה</t>
  </si>
  <si>
    <t>סך הכל עמלות בגין תשלום השקעה בתעודת סל</t>
  </si>
  <si>
    <t>בנק לאומי</t>
  </si>
  <si>
    <t>בנק דיסקונט</t>
  </si>
  <si>
    <t>אי.בי.אי.</t>
  </si>
  <si>
    <t>פועלים סהר</t>
  </si>
  <si>
    <t>BSP ABSOLUTE RETURN FD FO FD (LI)</t>
  </si>
  <si>
    <t>SPHERA GLOBAL HEALTHCARE MASTE</t>
  </si>
  <si>
    <t>קרן השקעה IGP</t>
  </si>
  <si>
    <t>יסודות א' נדלן ופיתוח שותפות מוגבלת</t>
  </si>
  <si>
    <t>ריאליטי קרן השקעות 2</t>
  </si>
  <si>
    <t>FIMI OPPORTUNITY V מורים</t>
  </si>
  <si>
    <t>קרן השתלמות למורים תיכוניים מקור - מאוחד</t>
  </si>
  <si>
    <t>סה"כ ניכוי מס</t>
  </si>
  <si>
    <t>שעור הוצאות מס מסך הנכסים</t>
  </si>
  <si>
    <t>נשואה</t>
  </si>
  <si>
    <t>Pi Emerging Markets Segregated II CLass B 01/16</t>
  </si>
  <si>
    <t>STAGE 1</t>
  </si>
  <si>
    <t>אייפקס מדיום ישראל מורים</t>
  </si>
  <si>
    <t>בלו אטלנטיק פרטנרס</t>
  </si>
  <si>
    <t>פימי 6 אופורטוניטי ישראל FIMI</t>
  </si>
  <si>
    <t>תשתיות ישראל 3</t>
  </si>
  <si>
    <t>קרן שקד</t>
  </si>
  <si>
    <t>לידר</t>
  </si>
  <si>
    <t>דניאל קיסריה אנרגיה מורים</t>
  </si>
  <si>
    <t>דרך הצפון (ע.ג.), שותפות מוגבלת</t>
  </si>
  <si>
    <t>גורילה טרבל</t>
  </si>
  <si>
    <t>אלפא מים פרטנרס</t>
  </si>
  <si>
    <t>קרן טנא</t>
  </si>
  <si>
    <t>טנא הון צמיחה 4</t>
  </si>
  <si>
    <t>STAGE ONE 3</t>
  </si>
  <si>
    <t>תש"י רכבת קלה ירושלים</t>
  </si>
  <si>
    <t>טוליפ קפיטל מורים</t>
  </si>
  <si>
    <t>קרן נוקד אקווטי מורים</t>
  </si>
  <si>
    <t>בלו אטלנטיק 2</t>
  </si>
  <si>
    <t>קרן אלפא הזדמנויות</t>
  </si>
  <si>
    <t>ALTO FUND III מורים</t>
  </si>
  <si>
    <t>Levine Leichtman VI</t>
  </si>
  <si>
    <t>פסגות ני"ע בע"מ</t>
  </si>
  <si>
    <t>קרן קוגיטו קפיטל מורים</t>
  </si>
  <si>
    <t>INSIGHT X</t>
  </si>
  <si>
    <t>Pontifax Management Fund III L.P.</t>
  </si>
  <si>
    <t>Forma Fund</t>
  </si>
  <si>
    <t>פנתיאון אקסס מורים</t>
  </si>
  <si>
    <t>ויולה גנריישן קפיטל מורים</t>
  </si>
  <si>
    <t>מיטב דרייד ני"ע</t>
  </si>
  <si>
    <t>ברוקר חול</t>
  </si>
  <si>
    <t>נדל"ן גולדן קפיטל גרמניה</t>
  </si>
  <si>
    <t>אחר</t>
  </si>
  <si>
    <t>IGP INVESTMENTS II</t>
  </si>
  <si>
    <t>הליוס אנרגיה מתחדשת 4</t>
  </si>
  <si>
    <t>קרן תשתיות ליש</t>
  </si>
  <si>
    <t>יסודות 2</t>
  </si>
  <si>
    <t>Bain Special Situation Europe</t>
  </si>
  <si>
    <t>ICG Europe VII מורים</t>
  </si>
  <si>
    <t>קרן וינטאג' 5 אקסס מורים</t>
  </si>
  <si>
    <t>ION ISRAEL FEEDER FUND LTD</t>
  </si>
  <si>
    <t>טאוסנד ק.השקעה-profimex</t>
  </si>
  <si>
    <t>Electra Multifamily II</t>
  </si>
  <si>
    <t>בנק מיזרחי</t>
  </si>
  <si>
    <t>Leichtman VI</t>
  </si>
  <si>
    <t>ICG NORTH AMEIRCA מורים</t>
  </si>
  <si>
    <t>BlueBay מורים</t>
  </si>
  <si>
    <t>SPHERA FD D</t>
  </si>
  <si>
    <t>קרן נוי 3 להשקעה בתשתיות אנרגי</t>
  </si>
  <si>
    <t>אלפא מים פרטנרס 2</t>
  </si>
  <si>
    <t>קרן ברוקפילד</t>
  </si>
  <si>
    <t>Hamilton Lane CI IV מורים</t>
  </si>
  <si>
    <t>01/09/2018- 29/08/2019</t>
  </si>
  <si>
    <t>ריאליטי 4 מורים</t>
  </si>
  <si>
    <t>שיעור הוצאות ישירות  לתקופה 1.9.2017-31.8.2018</t>
  </si>
</sst>
</file>

<file path=xl/styles.xml><?xml version="1.0" encoding="utf-8"?>
<styleSheet xmlns="http://schemas.openxmlformats.org/spreadsheetml/2006/main">
  <numFmts count="2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?&quot;#,##0.00;[Red]&quot;?&quot;\-#,##0.00"/>
    <numFmt numFmtId="165" formatCode="&quot;?&quot;#,##0;[Red]&quot;?&quot;\-#,##0"/>
    <numFmt numFmtId="166" formatCode="###,##0.00"/>
    <numFmt numFmtId="167" formatCode="#,##0.0"/>
    <numFmt numFmtId="168" formatCode="#,##0.000"/>
    <numFmt numFmtId="169" formatCode="#,##0.0000"/>
    <numFmt numFmtId="170" formatCode="0.0000"/>
    <numFmt numFmtId="171" formatCode="0.000"/>
    <numFmt numFmtId="172" formatCode="###,##0.000000"/>
    <numFmt numFmtId="173" formatCode="###,##0.00000"/>
    <numFmt numFmtId="174" formatCode="###"/>
    <numFmt numFmtId="175" formatCode="#,##0.00_ ;[Red]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₪&quot;#,##0.00;[Red]&quot;₪&quot;\-#,##0.00"/>
    <numFmt numFmtId="181" formatCode="#,##0.0000000000000"/>
    <numFmt numFmtId="182" formatCode="#,##0.000000000"/>
    <numFmt numFmtId="183" formatCode="#,##0.00000000"/>
    <numFmt numFmtId="184" formatCode="0.000%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Miriam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Protection="0">
      <alignment/>
    </xf>
    <xf numFmtId="44" fontId="0" fillId="0" borderId="0" applyFont="0" applyFill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0" fontId="1" fillId="0" borderId="10" xfId="38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10" fontId="0" fillId="0" borderId="0" xfId="38" applyNumberFormat="1" applyFont="1" applyAlignment="1">
      <alignment/>
    </xf>
    <xf numFmtId="3" fontId="0" fillId="0" borderId="14" xfId="0" applyNumberFormat="1" applyFill="1" applyBorder="1" applyAlignment="1">
      <alignment/>
    </xf>
    <xf numFmtId="43" fontId="4" fillId="0" borderId="10" xfId="33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40" fillId="0" borderId="10" xfId="0" applyNumberFormat="1" applyFont="1" applyBorder="1" applyAlignment="1">
      <alignment horizontal="right"/>
    </xf>
    <xf numFmtId="0" fontId="23" fillId="0" borderId="10" xfId="36" applyBorder="1" applyAlignment="1">
      <alignment horizontal="right"/>
      <protection/>
    </xf>
    <xf numFmtId="0" fontId="0" fillId="0" borderId="10" xfId="0" applyBorder="1" applyAlignment="1">
      <alignment horizontal="right" vertical="center"/>
    </xf>
    <xf numFmtId="3" fontId="0" fillId="0" borderId="15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Normal 2 3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5"/>
  <sheetViews>
    <sheetView rightToLeft="1" tabSelected="1" zoomScalePageLayoutView="0" workbookViewId="0" topLeftCell="A16">
      <selection activeCell="E34" sqref="E34"/>
    </sheetView>
  </sheetViews>
  <sheetFormatPr defaultColWidth="9.140625" defaultRowHeight="12.75"/>
  <cols>
    <col min="2" max="2" width="76.421875" style="0" customWidth="1"/>
    <col min="3" max="3" width="15.421875" style="0" customWidth="1"/>
    <col min="4" max="4" width="12.7109375" style="1" customWidth="1"/>
    <col min="5" max="5" width="11.7109375" style="1" customWidth="1"/>
    <col min="6" max="6" width="15.421875" style="1" customWidth="1"/>
    <col min="7" max="9" width="9.140625" style="1" customWidth="1"/>
  </cols>
  <sheetData>
    <row r="2" ht="12.75">
      <c r="B2" s="8" t="s">
        <v>19</v>
      </c>
    </row>
    <row r="3" ht="12.75">
      <c r="B3" s="13" t="s">
        <v>126</v>
      </c>
    </row>
    <row r="4" spans="3:6" ht="13.5" customHeight="1">
      <c r="C4" s="16" t="s">
        <v>29</v>
      </c>
      <c r="D4" s="16" t="s">
        <v>30</v>
      </c>
      <c r="E4" s="16" t="s">
        <v>32</v>
      </c>
      <c r="F4" s="16" t="s">
        <v>31</v>
      </c>
    </row>
    <row r="5" spans="2:6" ht="19.5" customHeight="1">
      <c r="B5" s="21" t="s">
        <v>70</v>
      </c>
      <c r="C5" s="17" t="s">
        <v>6</v>
      </c>
      <c r="D5" s="17" t="s">
        <v>6</v>
      </c>
      <c r="E5" s="17" t="s">
        <v>6</v>
      </c>
      <c r="F5" s="17" t="s">
        <v>6</v>
      </c>
    </row>
    <row r="6" spans="2:6" ht="19.5" customHeight="1">
      <c r="B6" s="7"/>
      <c r="C6" s="17"/>
      <c r="D6" s="17"/>
      <c r="E6" s="17"/>
      <c r="F6" s="17"/>
    </row>
    <row r="7" spans="2:6" ht="15">
      <c r="B7" s="7" t="s">
        <v>34</v>
      </c>
      <c r="C7" s="9"/>
      <c r="D7" s="9"/>
      <c r="E7" s="9"/>
      <c r="F7" s="9"/>
    </row>
    <row r="8" spans="2:6" ht="12.75">
      <c r="B8" s="3" t="s">
        <v>1</v>
      </c>
      <c r="C8" s="15">
        <f>'נספח 2'!C9</f>
        <v>17.225720000000003</v>
      </c>
      <c r="D8" s="15">
        <f>'נספח 2'!D9</f>
        <v>0.43517999999999996</v>
      </c>
      <c r="E8" s="15">
        <f>'נספח 2'!E9</f>
        <v>0.046450000000000005</v>
      </c>
      <c r="F8" s="15">
        <f>SUM(C8:E8)</f>
        <v>17.70735</v>
      </c>
    </row>
    <row r="9" spans="2:6" ht="12.75">
      <c r="B9" s="3" t="s">
        <v>0</v>
      </c>
      <c r="C9" s="15">
        <f>'נספח 2'!C24</f>
        <v>86.78071</v>
      </c>
      <c r="D9" s="15">
        <f>'נספח 2'!D24</f>
        <v>1.28957</v>
      </c>
      <c r="E9" s="15">
        <f>'נספח 2'!E24</f>
        <v>0.26756</v>
      </c>
      <c r="F9" s="15">
        <f>SUM(C9:E9)</f>
        <v>88.33784</v>
      </c>
    </row>
    <row r="10" spans="2:6" ht="12.75">
      <c r="B10" s="3"/>
      <c r="C10" s="15"/>
      <c r="D10" s="15"/>
      <c r="E10" s="15"/>
      <c r="F10" s="15"/>
    </row>
    <row r="11" spans="2:6" ht="14.25" customHeight="1">
      <c r="B11" s="7" t="s">
        <v>35</v>
      </c>
      <c r="C11" s="15"/>
      <c r="D11" s="15"/>
      <c r="E11" s="15"/>
      <c r="F11" s="15"/>
    </row>
    <row r="12" spans="2:6" ht="12.75">
      <c r="B12" s="3" t="s">
        <v>2</v>
      </c>
      <c r="C12" s="15"/>
      <c r="D12" s="15"/>
      <c r="E12" s="15"/>
      <c r="F12" s="15"/>
    </row>
    <row r="13" spans="2:6" ht="12.75">
      <c r="B13" s="3" t="s">
        <v>3</v>
      </c>
      <c r="C13" s="15">
        <f>'נספח 2'!C32</f>
        <v>14.29705</v>
      </c>
      <c r="D13" s="15">
        <f>'נספח 2'!D32</f>
        <v>0.038619999999999995</v>
      </c>
      <c r="E13" s="15">
        <f>'נספח 2'!E32</f>
        <v>0.00857</v>
      </c>
      <c r="F13" s="15">
        <f>SUM(C13:E13)</f>
        <v>14.344240000000001</v>
      </c>
    </row>
    <row r="14" spans="2:6" ht="12.75">
      <c r="B14" s="3"/>
      <c r="C14" s="15"/>
      <c r="D14" s="15"/>
      <c r="E14" s="15"/>
      <c r="F14" s="15"/>
    </row>
    <row r="15" spans="2:6" ht="15">
      <c r="B15" s="7" t="s">
        <v>36</v>
      </c>
      <c r="C15" s="15"/>
      <c r="D15" s="15"/>
      <c r="E15" s="15"/>
      <c r="F15" s="15"/>
    </row>
    <row r="16" spans="2:6" ht="12.75">
      <c r="B16" s="3" t="s">
        <v>37</v>
      </c>
      <c r="C16" s="15">
        <f>'נספח 2'!C40</f>
        <v>25.22869</v>
      </c>
      <c r="D16" s="15">
        <f>'נספח 2'!D40</f>
        <v>0</v>
      </c>
      <c r="E16" s="15">
        <f>'נספח 2'!E40</f>
        <v>0</v>
      </c>
      <c r="F16" s="15">
        <f>SUM(C16:E16)</f>
        <v>25.22869</v>
      </c>
    </row>
    <row r="17" spans="2:6" ht="12.75">
      <c r="B17" s="3" t="s">
        <v>38</v>
      </c>
      <c r="C17" s="15"/>
      <c r="D17" s="15"/>
      <c r="E17" s="15"/>
      <c r="F17" s="15"/>
    </row>
    <row r="18" spans="2:6" ht="12.75">
      <c r="B18" s="3" t="s">
        <v>39</v>
      </c>
      <c r="C18" s="15"/>
      <c r="D18" s="15"/>
      <c r="E18" s="15"/>
      <c r="F18" s="15"/>
    </row>
    <row r="19" spans="2:6" ht="12.75">
      <c r="B19" s="3"/>
      <c r="C19" s="15"/>
      <c r="D19" s="15"/>
      <c r="E19" s="15"/>
      <c r="F19" s="15"/>
    </row>
    <row r="20" spans="2:6" ht="15">
      <c r="B20" s="7" t="s">
        <v>40</v>
      </c>
      <c r="C20" s="15"/>
      <c r="D20" s="15"/>
      <c r="E20" s="15"/>
      <c r="F20" s="15"/>
    </row>
    <row r="21" spans="2:6" ht="12.75">
      <c r="B21" s="3" t="s">
        <v>41</v>
      </c>
      <c r="C21" s="15">
        <f>'נספח 3'!C38</f>
        <v>324.208078001587</v>
      </c>
      <c r="D21" s="15">
        <f>'נספח 3'!D38</f>
        <v>0</v>
      </c>
      <c r="E21" s="15">
        <f>'נספח 3'!E38</f>
        <v>0</v>
      </c>
      <c r="F21" s="15">
        <f>SUM(C21:E21)</f>
        <v>324.208078001587</v>
      </c>
    </row>
    <row r="22" spans="2:6" ht="12.75">
      <c r="B22" s="3" t="s">
        <v>42</v>
      </c>
      <c r="C22" s="15">
        <f>'נספח 3'!C66</f>
        <v>312.64220279065586</v>
      </c>
      <c r="D22" s="15">
        <f>'נספח 3'!D66</f>
        <v>0</v>
      </c>
      <c r="E22" s="15">
        <f>'נספח 3'!E66</f>
        <v>0</v>
      </c>
      <c r="F22" s="15">
        <f>SUM(C22:E22)</f>
        <v>312.64220279065586</v>
      </c>
    </row>
    <row r="23" spans="2:6" ht="12.75">
      <c r="B23" s="6" t="s">
        <v>4</v>
      </c>
      <c r="C23" s="15"/>
      <c r="D23" s="15"/>
      <c r="E23" s="15"/>
      <c r="F23" s="15"/>
    </row>
    <row r="24" spans="2:6" ht="12.75">
      <c r="B24" s="6" t="s">
        <v>13</v>
      </c>
      <c r="C24" s="15"/>
      <c r="D24" s="15"/>
      <c r="E24" s="15"/>
      <c r="F24" s="15"/>
    </row>
    <row r="25" spans="2:6" ht="12.75">
      <c r="B25" s="3" t="s">
        <v>43</v>
      </c>
      <c r="C25" s="15"/>
      <c r="D25" s="15"/>
      <c r="E25" s="15"/>
      <c r="F25" s="15"/>
    </row>
    <row r="26" spans="2:6" ht="12.75">
      <c r="B26" s="3" t="s">
        <v>44</v>
      </c>
      <c r="C26" s="15">
        <f>'נספח 3'!C78</f>
        <v>122.68358072934501</v>
      </c>
      <c r="D26" s="15">
        <f>'נספח 3'!D78</f>
        <v>1.1716780319397302</v>
      </c>
      <c r="E26" s="15">
        <f>'נספח 3'!E78</f>
        <v>0.320481379380822</v>
      </c>
      <c r="F26" s="15">
        <f>SUM(C26:E26)</f>
        <v>124.17574014066557</v>
      </c>
    </row>
    <row r="27" spans="2:6" ht="12.75">
      <c r="B27" s="6" t="s">
        <v>45</v>
      </c>
      <c r="C27" s="15">
        <f>'נספח 3'!C82</f>
        <v>-62.61152300824386</v>
      </c>
      <c r="D27" s="15">
        <f>'נספח 3'!D82</f>
        <v>-1.0685203404301373</v>
      </c>
      <c r="E27" s="15">
        <f>'נספח 3'!E82</f>
        <v>0</v>
      </c>
      <c r="F27" s="15">
        <f>SUM(C27:E27)</f>
        <v>-63.680043348674</v>
      </c>
    </row>
    <row r="28" spans="2:6" ht="12.75">
      <c r="B28" s="6" t="s">
        <v>46</v>
      </c>
      <c r="C28" s="15">
        <f>'נספח 3'!C83</f>
        <v>74.1038335407808</v>
      </c>
      <c r="D28" s="15">
        <f>'נספח 3'!D83</f>
        <v>2.0555546627712333</v>
      </c>
      <c r="E28" s="15">
        <f>'נספח 3'!E83</f>
        <v>0</v>
      </c>
      <c r="F28" s="15">
        <f>SUM(C28:E28)</f>
        <v>76.15938820355203</v>
      </c>
    </row>
    <row r="29" spans="2:6" ht="12.75">
      <c r="B29" s="6"/>
      <c r="C29" s="15"/>
      <c r="D29" s="15"/>
      <c r="E29" s="15"/>
      <c r="F29" s="15"/>
    </row>
    <row r="30" spans="2:6" ht="15">
      <c r="B30" s="7" t="s">
        <v>47</v>
      </c>
      <c r="C30" s="15"/>
      <c r="D30" s="15"/>
      <c r="E30" s="15"/>
      <c r="F30" s="15"/>
    </row>
    <row r="31" spans="2:6" ht="12.75">
      <c r="B31" s="3" t="s">
        <v>48</v>
      </c>
      <c r="C31" s="15"/>
      <c r="D31" s="15"/>
      <c r="E31" s="15"/>
      <c r="F31" s="15"/>
    </row>
    <row r="32" spans="2:6" ht="12.75">
      <c r="B32" s="3" t="s">
        <v>49</v>
      </c>
      <c r="C32" s="15"/>
      <c r="D32" s="15"/>
      <c r="E32" s="15"/>
      <c r="F32" s="15"/>
    </row>
    <row r="33" spans="2:6" ht="12.75">
      <c r="B33" s="2"/>
      <c r="C33" s="15"/>
      <c r="D33" s="15"/>
      <c r="E33" s="15"/>
      <c r="F33" s="15"/>
    </row>
    <row r="34" spans="2:6" ht="12.75">
      <c r="B34" s="3" t="s">
        <v>5</v>
      </c>
      <c r="C34" s="15">
        <f>+C9+C13+C16+C21+C22+C27+C28+C8+C26</f>
        <v>914.5583420541248</v>
      </c>
      <c r="D34" s="15">
        <f>+D9+D13+D16+D21+D22+D27+D28+D8+D26</f>
        <v>3.9220823542808265</v>
      </c>
      <c r="E34" s="15">
        <f>+E9+E13+E16+E21+E22+E27+E28+E8+E26</f>
        <v>0.643061379380822</v>
      </c>
      <c r="F34" s="15">
        <f>SUM(C34:E34)</f>
        <v>919.1234857877864</v>
      </c>
    </row>
    <row r="35" spans="2:6" ht="12.75">
      <c r="B35" s="3"/>
      <c r="C35" s="15"/>
      <c r="D35" s="15"/>
      <c r="E35" s="15"/>
      <c r="F35" s="15"/>
    </row>
    <row r="36" spans="2:6" ht="25.5">
      <c r="B36" s="19" t="s">
        <v>50</v>
      </c>
      <c r="C36" s="20">
        <f>(C16+C21+C22+C27+C28+C32+C26)/C39</f>
        <v>0.0014792577507136155</v>
      </c>
      <c r="D36" s="20">
        <f>(D16+D21+D22+D27+D28+D32+D26)/D39</f>
        <v>0.00025468527067966335</v>
      </c>
      <c r="E36" s="20">
        <f>(E16+E21+E22+E27+E28+E32+E26)/E39</f>
        <v>0.00014660630346789662</v>
      </c>
      <c r="F36" s="20">
        <f>(F16+F21+F22+F27+F28+F32+F26)/F39</f>
        <v>0.0014550427108652399</v>
      </c>
    </row>
    <row r="37" spans="2:6" ht="25.5">
      <c r="B37" s="19" t="s">
        <v>51</v>
      </c>
      <c r="C37" s="20">
        <f>C34/((547791+539061)/2)</f>
        <v>0.0016829491817729088</v>
      </c>
      <c r="D37" s="20">
        <f>D34/((9358+8531)/2)</f>
        <v>0.0004384909558142799</v>
      </c>
      <c r="E37" s="20">
        <f>E34/((2289+2198)/2)</f>
        <v>0.0002866331087055146</v>
      </c>
      <c r="F37" s="20">
        <f>F34/F39</f>
        <v>0.0016743544596474426</v>
      </c>
    </row>
    <row r="38" spans="2:6" ht="12.75">
      <c r="B38" s="2"/>
      <c r="C38" s="15"/>
      <c r="D38" s="15"/>
      <c r="E38" s="15"/>
      <c r="F38" s="15"/>
    </row>
    <row r="39" spans="2:6" ht="12.75">
      <c r="B39" s="3" t="s">
        <v>33</v>
      </c>
      <c r="C39" s="15">
        <v>538280</v>
      </c>
      <c r="D39" s="15">
        <v>8476</v>
      </c>
      <c r="E39" s="15">
        <v>2186</v>
      </c>
      <c r="F39" s="15">
        <f>SUM(C39:E39)</f>
        <v>548942</v>
      </c>
    </row>
    <row r="41" spans="2:6" ht="12.75">
      <c r="B41" s="3" t="s">
        <v>71</v>
      </c>
      <c r="C41" s="15"/>
      <c r="D41" s="15"/>
      <c r="E41" s="15"/>
      <c r="F41" s="15">
        <f>SUM(C41:E41)</f>
        <v>0</v>
      </c>
    </row>
    <row r="42" spans="2:6" ht="12.75">
      <c r="B42" s="19" t="s">
        <v>72</v>
      </c>
      <c r="C42" s="20">
        <f>C41/C39</f>
        <v>0</v>
      </c>
      <c r="D42" s="20">
        <f>D41/D39</f>
        <v>0</v>
      </c>
      <c r="E42" s="20">
        <f>E41/E39</f>
        <v>0</v>
      </c>
      <c r="F42" s="20">
        <f>F41/F39</f>
        <v>0</v>
      </c>
    </row>
    <row r="44" spans="2:6" ht="12.75">
      <c r="B44" s="37" t="s">
        <v>128</v>
      </c>
      <c r="C44" s="37"/>
      <c r="D44" s="37"/>
      <c r="E44" s="37"/>
      <c r="F44" s="37"/>
    </row>
    <row r="46" spans="3:6" ht="12.75">
      <c r="C46" s="14"/>
      <c r="D46" s="14"/>
      <c r="E46" s="14"/>
      <c r="F46" s="14"/>
    </row>
    <row r="47" spans="3:6" ht="12.75">
      <c r="C47" s="27"/>
      <c r="D47" s="27"/>
      <c r="E47" s="27"/>
      <c r="F47" s="27"/>
    </row>
    <row r="48" spans="3:6" ht="12.75">
      <c r="C48" s="14"/>
      <c r="D48" s="14"/>
      <c r="E48" s="14"/>
      <c r="F48" s="14"/>
    </row>
    <row r="49" spans="3:6" ht="12.75">
      <c r="C49" s="27"/>
      <c r="D49" s="27"/>
      <c r="E49" s="27"/>
      <c r="F49" s="27"/>
    </row>
    <row r="50" spans="3:6" ht="12.75">
      <c r="C50" s="14"/>
      <c r="D50" s="14"/>
      <c r="E50" s="14"/>
      <c r="F50" s="14"/>
    </row>
    <row r="51" spans="3:6" ht="12.75">
      <c r="C51" s="27"/>
      <c r="D51" s="27"/>
      <c r="E51" s="27"/>
      <c r="F51" s="27"/>
    </row>
    <row r="52" spans="3:6" ht="12.75">
      <c r="C52" s="14"/>
      <c r="D52" s="14"/>
      <c r="E52" s="14"/>
      <c r="F52" s="14"/>
    </row>
    <row r="53" spans="3:6" ht="12.75">
      <c r="C53" s="27"/>
      <c r="D53" s="27"/>
      <c r="E53" s="27"/>
      <c r="F53" s="27"/>
    </row>
    <row r="54" spans="3:6" ht="12.75">
      <c r="C54" s="14"/>
      <c r="D54" s="14"/>
      <c r="E54" s="14"/>
      <c r="F54" s="14"/>
    </row>
    <row r="55" spans="3:6" ht="12.75">
      <c r="C55" s="27"/>
      <c r="D55" s="27"/>
      <c r="E55" s="27"/>
      <c r="F55" s="2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rightToLeft="1" zoomScalePageLayoutView="0" workbookViewId="0" topLeftCell="A9">
      <selection activeCell="E43" sqref="E43"/>
    </sheetView>
  </sheetViews>
  <sheetFormatPr defaultColWidth="9.140625" defaultRowHeight="12.75"/>
  <cols>
    <col min="2" max="2" width="74.8515625" style="0" bestFit="1" customWidth="1"/>
    <col min="3" max="3" width="12.7109375" style="0" customWidth="1"/>
    <col min="4" max="4" width="10.140625" style="0" customWidth="1"/>
    <col min="5" max="5" width="9.140625" style="0" customWidth="1"/>
    <col min="6" max="6" width="12.7109375" style="0" customWidth="1"/>
  </cols>
  <sheetData>
    <row r="2" spans="2:3" ht="12.75">
      <c r="B2" s="5" t="s">
        <v>18</v>
      </c>
      <c r="C2" s="1"/>
    </row>
    <row r="3" spans="2:3" ht="14.25" customHeight="1">
      <c r="B3" s="12" t="str">
        <f>'נספח 1'!B3</f>
        <v>01/09/2018- 29/08/2019</v>
      </c>
      <c r="C3" s="1"/>
    </row>
    <row r="4" spans="2:6" ht="12.75">
      <c r="B4" s="1"/>
      <c r="C4" s="16" t="s">
        <v>29</v>
      </c>
      <c r="D4" s="16" t="s">
        <v>30</v>
      </c>
      <c r="E4" s="16" t="s">
        <v>32</v>
      </c>
      <c r="F4" s="16" t="s">
        <v>31</v>
      </c>
    </row>
    <row r="5" spans="2:6" ht="25.5" customHeight="1">
      <c r="B5" s="7" t="str">
        <f>'נספח 1'!B5</f>
        <v>קרן השתלמות למורים תיכוניים מקור - מאוחד</v>
      </c>
      <c r="C5" s="18" t="s">
        <v>6</v>
      </c>
      <c r="D5" s="18" t="s">
        <v>6</v>
      </c>
      <c r="E5" s="18" t="s">
        <v>6</v>
      </c>
      <c r="F5" s="18" t="s">
        <v>6</v>
      </c>
    </row>
    <row r="6" spans="2:6" ht="15">
      <c r="B6" s="7"/>
      <c r="C6" s="3"/>
      <c r="D6" s="3"/>
      <c r="E6" s="3"/>
      <c r="F6" s="3"/>
    </row>
    <row r="7" spans="2:6" ht="12.75">
      <c r="B7" s="4" t="s">
        <v>7</v>
      </c>
      <c r="C7" s="10"/>
      <c r="D7" s="10"/>
      <c r="E7" s="10"/>
      <c r="F7" s="10"/>
    </row>
    <row r="8" spans="2:6" ht="12.75">
      <c r="B8" s="3" t="s">
        <v>20</v>
      </c>
      <c r="C8" s="10"/>
      <c r="D8" s="10"/>
      <c r="E8" s="10"/>
      <c r="F8" s="10"/>
    </row>
    <row r="9" spans="2:8" ht="12.75">
      <c r="B9" s="22" t="s">
        <v>96</v>
      </c>
      <c r="C9" s="24">
        <f>7008.09/1000+3310.71/1000+4361.26/1000+2545.66/1000</f>
        <v>17.225720000000003</v>
      </c>
      <c r="D9" s="24">
        <f>353.13/1000+55.21/1000+26.84/1000</f>
        <v>0.43517999999999996</v>
      </c>
      <c r="E9" s="24">
        <f>20.87/1000+18.17/1000+7.41/1000</f>
        <v>0.046450000000000005</v>
      </c>
      <c r="F9" s="24">
        <f>SUM(C9:E9)</f>
        <v>17.70735</v>
      </c>
      <c r="H9" s="28"/>
    </row>
    <row r="10" spans="2:6" ht="12.75">
      <c r="B10" s="3" t="s">
        <v>21</v>
      </c>
      <c r="C10" s="24"/>
      <c r="D10" s="24"/>
      <c r="E10" s="24"/>
      <c r="F10" s="24"/>
    </row>
    <row r="11" spans="2:6" ht="12.75">
      <c r="B11" s="30" t="s">
        <v>16</v>
      </c>
      <c r="C11" s="24">
        <f>26481.26/1000+4908.56/1000+57.92/1000+15651.17/1000+3586.09/1000</f>
        <v>50.685</v>
      </c>
      <c r="D11" s="24">
        <f>743.41/1000+195.03/1000+109.82/1000</f>
        <v>1.04826</v>
      </c>
      <c r="E11" s="24">
        <f>75.57/1000+106.76/1000+29.51/1000</f>
        <v>0.21184</v>
      </c>
      <c r="F11" s="24">
        <f aca="true" t="shared" si="0" ref="F11:F22">SUM(C11:E11)</f>
        <v>51.945100000000004</v>
      </c>
    </row>
    <row r="12" spans="2:6" ht="12.75">
      <c r="B12" s="30" t="s">
        <v>62</v>
      </c>
      <c r="C12" s="24">
        <f>1.30659+1738.14/1000+2693.59/1000+798.18/1000</f>
        <v>6.5365</v>
      </c>
      <c r="D12" s="26">
        <f>0.02455+19.82/1000+23.59/1000</f>
        <v>0.06795999999999999</v>
      </c>
      <c r="E12" s="24">
        <f>0.00542+15.18/1000</f>
        <v>0.0206</v>
      </c>
      <c r="F12" s="24">
        <f t="shared" si="0"/>
        <v>6.62506</v>
      </c>
    </row>
    <row r="13" spans="2:6" ht="12.75">
      <c r="B13" s="30" t="s">
        <v>61</v>
      </c>
      <c r="C13" s="24">
        <f>1.79236+1107.73/1000+959.13/1000+310.36/1000</f>
        <v>4.16958</v>
      </c>
      <c r="D13" s="26">
        <f>0.08341+20.44/1000+6.24/1000</f>
        <v>0.11009</v>
      </c>
      <c r="E13" s="24">
        <f>0.00572+9.32/1000</f>
        <v>0.015040000000000001</v>
      </c>
      <c r="F13" s="24">
        <f t="shared" si="0"/>
        <v>4.294709999999999</v>
      </c>
    </row>
    <row r="14" spans="2:6" ht="12.75">
      <c r="B14" s="30" t="s">
        <v>60</v>
      </c>
      <c r="C14" s="24">
        <f>1.64233+684.09/1000+507.69/1000+148.49/1000</f>
        <v>2.9825999999999997</v>
      </c>
      <c r="D14" s="24">
        <v>0.00337</v>
      </c>
      <c r="E14" s="24">
        <v>0.00393</v>
      </c>
      <c r="F14" s="24">
        <f t="shared" si="0"/>
        <v>2.9898999999999996</v>
      </c>
    </row>
    <row r="15" spans="2:6" ht="12.75">
      <c r="B15" s="30" t="s">
        <v>81</v>
      </c>
      <c r="C15" s="24">
        <f>1.9866+951.92/1000+1260.04/1000+383.9/1000</f>
        <v>4.58246</v>
      </c>
      <c r="D15" s="24">
        <f>0.01862+2.25/1000</f>
        <v>0.02087</v>
      </c>
      <c r="E15" s="24">
        <f>0.00589+0.17/1000</f>
        <v>0.00606</v>
      </c>
      <c r="F15" s="24">
        <f t="shared" si="0"/>
        <v>4.60939</v>
      </c>
    </row>
    <row r="16" spans="2:6" ht="12.75">
      <c r="B16" s="23" t="s">
        <v>73</v>
      </c>
      <c r="C16" s="24">
        <f>2.09173+1746.95/1000+715.48/1000+212.9/1000</f>
        <v>4.767060000000001</v>
      </c>
      <c r="D16" s="24">
        <f>0.01096+4.1/1000</f>
        <v>0.015059999999999999</v>
      </c>
      <c r="E16" s="24">
        <f>0.00249+2.54/1000</f>
        <v>0.00503</v>
      </c>
      <c r="F16" s="24">
        <f t="shared" si="0"/>
        <v>4.7871500000000005</v>
      </c>
    </row>
    <row r="17" spans="2:6" ht="12.75">
      <c r="B17" s="30" t="s">
        <v>103</v>
      </c>
      <c r="C17" s="24">
        <f>1.40438+628.44/1000+681.49/1000+403.07/1000</f>
        <v>3.1173800000000003</v>
      </c>
      <c r="D17" s="24">
        <f>0.00875+3.35/1000+11.86/1000</f>
        <v>0.023960000000000002</v>
      </c>
      <c r="E17" s="24">
        <f>0.00418+0.88/1000</f>
        <v>0.005059999999999999</v>
      </c>
      <c r="F17" s="24">
        <f t="shared" si="0"/>
        <v>3.1464000000000003</v>
      </c>
    </row>
    <row r="18" spans="2:6" ht="12.75">
      <c r="B18" s="30" t="s">
        <v>117</v>
      </c>
      <c r="C18" s="24">
        <f>68.35/1000</f>
        <v>0.06835</v>
      </c>
      <c r="D18" s="24">
        <v>0</v>
      </c>
      <c r="E18" s="24">
        <v>0</v>
      </c>
      <c r="F18" s="24">
        <f t="shared" si="0"/>
        <v>0.06835</v>
      </c>
    </row>
    <row r="19" spans="2:6" ht="12.75">
      <c r="B19" s="30" t="s">
        <v>104</v>
      </c>
      <c r="C19" s="24">
        <f>3433.51/1000+1500.95/1000+2997.45/1000+1939.87/1000</f>
        <v>9.87178</v>
      </c>
      <c r="D19" s="24"/>
      <c r="E19" s="24"/>
      <c r="F19" s="24">
        <f t="shared" si="0"/>
        <v>9.87178</v>
      </c>
    </row>
    <row r="20" spans="2:6" ht="12.75">
      <c r="B20" s="30"/>
      <c r="C20" s="24"/>
      <c r="D20" s="24"/>
      <c r="E20" s="24"/>
      <c r="F20" s="24">
        <f t="shared" si="0"/>
        <v>0</v>
      </c>
    </row>
    <row r="21" spans="2:6" ht="12.75">
      <c r="B21" s="23"/>
      <c r="C21" s="24"/>
      <c r="D21" s="24"/>
      <c r="E21" s="24"/>
      <c r="F21" s="24">
        <f t="shared" si="0"/>
        <v>0</v>
      </c>
    </row>
    <row r="22" spans="2:6" ht="12.75">
      <c r="B22" s="30"/>
      <c r="C22" s="24"/>
      <c r="D22" s="24"/>
      <c r="E22" s="24"/>
      <c r="F22" s="24">
        <f t="shared" si="0"/>
        <v>0</v>
      </c>
    </row>
    <row r="23" spans="2:6" ht="12.75">
      <c r="B23" s="23"/>
      <c r="C23" s="24"/>
      <c r="D23" s="24"/>
      <c r="E23" s="24"/>
      <c r="F23" s="24"/>
    </row>
    <row r="24" spans="2:6" ht="12.75">
      <c r="B24" s="3" t="s">
        <v>8</v>
      </c>
      <c r="C24" s="15">
        <f>SUM(C11:C23)</f>
        <v>86.78071</v>
      </c>
      <c r="D24" s="15">
        <f>SUM(D11:D23)</f>
        <v>1.28957</v>
      </c>
      <c r="E24" s="15">
        <f>SUM(E11:E22)</f>
        <v>0.26756</v>
      </c>
      <c r="F24" s="15">
        <f>SUM(F11:F22)</f>
        <v>88.33784</v>
      </c>
    </row>
    <row r="25" spans="2:6" ht="12.75">
      <c r="B25" s="2"/>
      <c r="C25" s="24"/>
      <c r="D25" s="24"/>
      <c r="E25" s="24"/>
      <c r="F25" s="24"/>
    </row>
    <row r="26" spans="2:6" ht="12.75">
      <c r="B26" s="4" t="s">
        <v>9</v>
      </c>
      <c r="C26" s="24"/>
      <c r="D26" s="24"/>
      <c r="E26" s="24"/>
      <c r="F26" s="24"/>
    </row>
    <row r="27" spans="2:6" ht="12.75">
      <c r="B27" s="3" t="s">
        <v>20</v>
      </c>
      <c r="C27" s="24"/>
      <c r="D27" s="24"/>
      <c r="E27" s="24"/>
      <c r="F27" s="24"/>
    </row>
    <row r="28" spans="2:6" ht="12.75">
      <c r="B28" s="3"/>
      <c r="C28" s="24"/>
      <c r="D28" s="24"/>
      <c r="E28" s="24"/>
      <c r="F28" s="24"/>
    </row>
    <row r="29" spans="2:6" ht="12.75">
      <c r="B29" s="3" t="s">
        <v>21</v>
      </c>
      <c r="C29" s="24"/>
      <c r="D29" s="24"/>
      <c r="E29" s="24"/>
      <c r="F29" s="24"/>
    </row>
    <row r="30" spans="2:8" ht="12.75">
      <c r="B30" s="2" t="s">
        <v>16</v>
      </c>
      <c r="C30" s="24">
        <f>7567.35/1000+1658.04/1000+362.43/1000</f>
        <v>9.58782</v>
      </c>
      <c r="D30" s="24">
        <f>38.62/1000</f>
        <v>0.038619999999999995</v>
      </c>
      <c r="E30" s="24">
        <f>8.57/1000</f>
        <v>0.00857</v>
      </c>
      <c r="F30" s="24">
        <f>SUM(C30:E30)</f>
        <v>9.635010000000001</v>
      </c>
      <c r="H30" s="34"/>
    </row>
    <row r="31" spans="2:8" ht="12.75">
      <c r="B31" s="22" t="s">
        <v>63</v>
      </c>
      <c r="C31" s="24">
        <f>1733.45/1000+744.72/1000+1489.69/1000+741.37/1000</f>
        <v>4.70923</v>
      </c>
      <c r="D31" s="24"/>
      <c r="E31" s="24"/>
      <c r="F31" s="24"/>
      <c r="H31" s="36"/>
    </row>
    <row r="32" spans="2:6" ht="12.75">
      <c r="B32" s="3" t="s">
        <v>10</v>
      </c>
      <c r="C32" s="15">
        <f>SUM(C27:C31)</f>
        <v>14.29705</v>
      </c>
      <c r="D32" s="15">
        <f>SUM(D27:D31)</f>
        <v>0.038619999999999995</v>
      </c>
      <c r="E32" s="15">
        <f>SUM(E27:E30)</f>
        <v>0.00857</v>
      </c>
      <c r="F32" s="15">
        <f>SUM(F27:F30)</f>
        <v>9.635010000000001</v>
      </c>
    </row>
    <row r="33" spans="2:6" ht="12.75">
      <c r="B33" s="2"/>
      <c r="C33" s="24"/>
      <c r="D33" s="24"/>
      <c r="E33" s="24"/>
      <c r="F33" s="24"/>
    </row>
    <row r="34" spans="2:6" ht="12.75">
      <c r="B34" s="3" t="s">
        <v>22</v>
      </c>
      <c r="C34" s="24"/>
      <c r="D34" s="24"/>
      <c r="E34" s="24"/>
      <c r="F34" s="24"/>
    </row>
    <row r="35" spans="2:6" ht="12.75">
      <c r="B35" s="22" t="s">
        <v>105</v>
      </c>
      <c r="C35" s="24">
        <f>4134.34/1000</f>
        <v>4.13434</v>
      </c>
      <c r="D35" s="24"/>
      <c r="E35" s="24"/>
      <c r="F35" s="24">
        <f>SUM(C35:E35)</f>
        <v>4.13434</v>
      </c>
    </row>
    <row r="36" spans="2:6" ht="12.75">
      <c r="B36" s="30" t="s">
        <v>118</v>
      </c>
      <c r="C36" s="24">
        <f>8055.65/1000</f>
        <v>8.05565</v>
      </c>
      <c r="D36" s="24"/>
      <c r="E36" s="24"/>
      <c r="F36" s="24">
        <f>SUM(C36:E36)</f>
        <v>8.05565</v>
      </c>
    </row>
    <row r="37" spans="2:6" ht="12" customHeight="1">
      <c r="B37" s="31" t="s">
        <v>106</v>
      </c>
      <c r="C37" s="24">
        <f>5499.9/1000+503/1000-1988.74/1000+407.47/1000+1936.03/1000+1723.5/1000+985.71/1000-1334.17/1000+5306/1000</f>
        <v>13.038699999999999</v>
      </c>
      <c r="D37" s="24"/>
      <c r="E37" s="24"/>
      <c r="F37" s="24">
        <f>SUM(C37:E37)</f>
        <v>13.038699999999999</v>
      </c>
    </row>
    <row r="38" spans="2:6" ht="12.75">
      <c r="B38" s="2"/>
      <c r="C38" s="24"/>
      <c r="D38" s="24"/>
      <c r="E38" s="24"/>
      <c r="F38" s="24">
        <f>SUM(C38:E38)</f>
        <v>0</v>
      </c>
    </row>
    <row r="39" spans="2:6" ht="12.75">
      <c r="B39" s="22"/>
      <c r="C39" s="24"/>
      <c r="D39" s="24"/>
      <c r="E39" s="24"/>
      <c r="F39" s="24">
        <f>SUM(C39:E39)</f>
        <v>0</v>
      </c>
    </row>
    <row r="40" spans="2:6" ht="12.75">
      <c r="B40" s="3" t="s">
        <v>27</v>
      </c>
      <c r="C40" s="15">
        <f>SUM(C35:C39)</f>
        <v>25.22869</v>
      </c>
      <c r="D40" s="15">
        <f>SUM(D35:D39)</f>
        <v>0</v>
      </c>
      <c r="E40" s="15">
        <f>SUM(E35:E39)</f>
        <v>0</v>
      </c>
      <c r="F40" s="15">
        <f>SUM(F35:F39)</f>
        <v>25.22869</v>
      </c>
    </row>
    <row r="41" spans="2:6" ht="12.75">
      <c r="B41" s="2"/>
      <c r="C41" s="24"/>
      <c r="D41" s="24"/>
      <c r="E41" s="24"/>
      <c r="F41" s="24"/>
    </row>
    <row r="42" spans="2:6" ht="12.75">
      <c r="B42" s="3" t="s">
        <v>23</v>
      </c>
      <c r="C42" s="24"/>
      <c r="D42" s="24"/>
      <c r="E42" s="24"/>
      <c r="F42" s="24"/>
    </row>
    <row r="43" spans="2:6" ht="12.75">
      <c r="B43" s="3"/>
      <c r="C43" s="24"/>
      <c r="D43" s="24"/>
      <c r="E43" s="24"/>
      <c r="F43" s="24"/>
    </row>
    <row r="44" spans="2:6" ht="12.75">
      <c r="B44" s="3" t="s">
        <v>11</v>
      </c>
      <c r="C44" s="24"/>
      <c r="D44" s="24"/>
      <c r="E44" s="24"/>
      <c r="F44" s="24"/>
    </row>
    <row r="45" spans="2:6" ht="12.75">
      <c r="B45" s="2"/>
      <c r="C45" s="24"/>
      <c r="D45" s="24"/>
      <c r="E45" s="24"/>
      <c r="F45" s="24"/>
    </row>
    <row r="46" spans="2:6" ht="12.75">
      <c r="B46" s="3" t="s">
        <v>12</v>
      </c>
      <c r="C46" s="15">
        <f>+C9+C24+C32+C40</f>
        <v>143.53217</v>
      </c>
      <c r="D46" s="15">
        <f>+D9+D24+D32+D40</f>
        <v>1.76337</v>
      </c>
      <c r="E46" s="15">
        <f>+E9+E24+E32+E40</f>
        <v>0.32258000000000003</v>
      </c>
      <c r="F46" s="15">
        <f>+F9+F24+F32+F40</f>
        <v>140.90889</v>
      </c>
    </row>
    <row r="47" spans="2:6" ht="12.75">
      <c r="B47" s="2"/>
      <c r="C47" s="24"/>
      <c r="D47" s="24"/>
      <c r="E47" s="24"/>
      <c r="F47" s="24"/>
    </row>
    <row r="48" spans="2:6" ht="12.75">
      <c r="B48" s="3" t="str">
        <f>'נספח 1'!B39</f>
        <v>סך הכל נכסים לסוף תקופה קודמת</v>
      </c>
      <c r="C48" s="15">
        <v>465827</v>
      </c>
      <c r="D48" s="15">
        <v>4127</v>
      </c>
      <c r="E48" s="15">
        <v>1342</v>
      </c>
      <c r="F48" s="15">
        <f>+C48+D48+E48</f>
        <v>471296</v>
      </c>
    </row>
    <row r="49" spans="3:6" ht="12.75">
      <c r="C49" s="25"/>
      <c r="D49" s="25"/>
      <c r="E49" s="25"/>
      <c r="F49" s="25"/>
    </row>
    <row r="51" ht="12.75">
      <c r="C51" s="1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rightToLeft="1" zoomScalePageLayoutView="0" workbookViewId="0" topLeftCell="A62">
      <selection activeCell="E78" sqref="E78"/>
    </sheetView>
  </sheetViews>
  <sheetFormatPr defaultColWidth="9.140625" defaultRowHeight="12.75"/>
  <cols>
    <col min="2" max="2" width="74.8515625" style="0" bestFit="1" customWidth="1"/>
    <col min="3" max="3" width="12.7109375" style="0" customWidth="1"/>
    <col min="4" max="4" width="10.140625" style="0" customWidth="1"/>
    <col min="5" max="5" width="9.140625" style="0" customWidth="1"/>
    <col min="6" max="6" width="12.7109375" style="0" customWidth="1"/>
  </cols>
  <sheetData>
    <row r="2" spans="2:3" ht="12.75">
      <c r="B2" s="5" t="s">
        <v>17</v>
      </c>
      <c r="C2" s="1"/>
    </row>
    <row r="3" spans="2:3" ht="12.75">
      <c r="B3" s="13" t="str">
        <f>'נספח 1'!B3</f>
        <v>01/09/2018- 29/08/2019</v>
      </c>
      <c r="C3" s="1"/>
    </row>
    <row r="4" spans="3:6" ht="12.75">
      <c r="C4" s="16" t="s">
        <v>29</v>
      </c>
      <c r="D4" s="16" t="s">
        <v>30</v>
      </c>
      <c r="E4" s="16" t="s">
        <v>32</v>
      </c>
      <c r="F4" s="16" t="s">
        <v>31</v>
      </c>
    </row>
    <row r="5" spans="2:6" ht="21" customHeight="1">
      <c r="B5" s="7" t="str">
        <f>'נספח 1'!B5</f>
        <v>קרן השתלמות למורים תיכוניים מקור - מאוחד</v>
      </c>
      <c r="C5" s="17" t="s">
        <v>6</v>
      </c>
      <c r="D5" s="17" t="s">
        <v>6</v>
      </c>
      <c r="E5" s="17" t="s">
        <v>6</v>
      </c>
      <c r="F5" s="17" t="s">
        <v>6</v>
      </c>
    </row>
    <row r="6" spans="2:6" ht="15">
      <c r="B6" s="7"/>
      <c r="C6" s="9"/>
      <c r="D6" s="9"/>
      <c r="E6" s="9"/>
      <c r="F6" s="9"/>
    </row>
    <row r="7" spans="2:6" ht="12.75">
      <c r="B7" s="3" t="s">
        <v>52</v>
      </c>
      <c r="C7" s="10"/>
      <c r="D7" s="10"/>
      <c r="E7" s="10"/>
      <c r="F7" s="10"/>
    </row>
    <row r="8" spans="2:6" ht="12.75">
      <c r="B8" s="29" t="s">
        <v>85</v>
      </c>
      <c r="C8" s="24">
        <v>67.95964853528477</v>
      </c>
      <c r="D8" s="24"/>
      <c r="E8" s="24"/>
      <c r="F8" s="26">
        <f aca="true" t="shared" si="0" ref="F8:F37">+C8+D8</f>
        <v>67.95964853528477</v>
      </c>
    </row>
    <row r="9" spans="2:6" ht="14.25">
      <c r="B9" s="32" t="s">
        <v>97</v>
      </c>
      <c r="C9" s="24">
        <v>6.318277777777778</v>
      </c>
      <c r="D9" s="24"/>
      <c r="E9" s="24"/>
      <c r="F9" s="26">
        <f t="shared" si="0"/>
        <v>6.318277777777778</v>
      </c>
    </row>
    <row r="10" spans="2:6" ht="12.75">
      <c r="B10" s="29" t="s">
        <v>75</v>
      </c>
      <c r="C10" s="24">
        <v>8.162323736949565</v>
      </c>
      <c r="D10" s="24"/>
      <c r="E10" s="24"/>
      <c r="F10" s="26">
        <f t="shared" si="0"/>
        <v>8.162323736949565</v>
      </c>
    </row>
    <row r="11" spans="2:6" ht="14.25">
      <c r="B11" s="32" t="s">
        <v>66</v>
      </c>
      <c r="C11" s="24">
        <v>7.312138944444444</v>
      </c>
      <c r="D11" s="24"/>
      <c r="E11" s="24"/>
      <c r="F11" s="26">
        <f t="shared" si="0"/>
        <v>7.312138944444444</v>
      </c>
    </row>
    <row r="12" spans="2:6" ht="14.25">
      <c r="B12" s="32" t="s">
        <v>84</v>
      </c>
      <c r="C12" s="24">
        <v>2.6373178172249996</v>
      </c>
      <c r="D12" s="24"/>
      <c r="E12" s="24"/>
      <c r="F12" s="26">
        <f t="shared" si="0"/>
        <v>2.6373178172249996</v>
      </c>
    </row>
    <row r="13" spans="2:6" ht="12.75">
      <c r="B13" s="11" t="s">
        <v>83</v>
      </c>
      <c r="C13" s="24">
        <v>1.9221666666666668</v>
      </c>
      <c r="D13" s="24"/>
      <c r="E13" s="24"/>
      <c r="F13" s="26">
        <f t="shared" si="0"/>
        <v>1.9221666666666668</v>
      </c>
    </row>
    <row r="14" spans="2:6" ht="12.75">
      <c r="B14" s="29" t="s">
        <v>87</v>
      </c>
      <c r="C14" s="24">
        <v>27.332740555555553</v>
      </c>
      <c r="D14" s="24"/>
      <c r="E14" s="24"/>
      <c r="F14" s="26">
        <f t="shared" si="0"/>
        <v>27.332740555555553</v>
      </c>
    </row>
    <row r="15" spans="2:6" ht="14.25">
      <c r="B15" s="32" t="s">
        <v>107</v>
      </c>
      <c r="C15" s="24">
        <v>23.442818</v>
      </c>
      <c r="D15" s="24"/>
      <c r="E15" s="24"/>
      <c r="F15" s="26">
        <f t="shared" si="0"/>
        <v>23.442818</v>
      </c>
    </row>
    <row r="16" spans="2:6" ht="14.25">
      <c r="B16" s="32" t="s">
        <v>68</v>
      </c>
      <c r="C16" s="24">
        <v>2.3046655173732273</v>
      </c>
      <c r="D16" s="24"/>
      <c r="E16" s="24"/>
      <c r="F16" s="26">
        <f t="shared" si="0"/>
        <v>2.3046655173732273</v>
      </c>
    </row>
    <row r="17" spans="2:6" ht="12.75">
      <c r="B17" s="33" t="s">
        <v>80</v>
      </c>
      <c r="C17" s="24">
        <v>0.8135000000000001</v>
      </c>
      <c r="D17" s="24"/>
      <c r="E17" s="24"/>
      <c r="F17" s="26">
        <f t="shared" si="0"/>
        <v>0.8135000000000001</v>
      </c>
    </row>
    <row r="18" spans="2:6" ht="14.25">
      <c r="B18" s="32" t="s">
        <v>82</v>
      </c>
      <c r="C18" s="24">
        <v>16.78325</v>
      </c>
      <c r="D18" s="24"/>
      <c r="E18" s="24"/>
      <c r="F18" s="26">
        <f t="shared" si="0"/>
        <v>16.78325</v>
      </c>
    </row>
    <row r="19" spans="2:6" ht="14.25">
      <c r="B19" s="32" t="s">
        <v>86</v>
      </c>
      <c r="C19" s="24">
        <v>8.597108333333333</v>
      </c>
      <c r="D19" s="24"/>
      <c r="E19" s="24"/>
      <c r="F19" s="26">
        <f t="shared" si="0"/>
        <v>8.597108333333333</v>
      </c>
    </row>
    <row r="20" spans="2:6" ht="14.25">
      <c r="B20" s="32" t="s">
        <v>108</v>
      </c>
      <c r="C20" s="24">
        <v>0.38571831859649125</v>
      </c>
      <c r="D20" s="24"/>
      <c r="E20" s="24"/>
      <c r="F20" s="26">
        <f t="shared" si="0"/>
        <v>0.38571831859649125</v>
      </c>
    </row>
    <row r="21" spans="2:6" ht="14.25">
      <c r="B21" s="32" t="s">
        <v>122</v>
      </c>
      <c r="C21" s="24">
        <v>0.7921950416666668</v>
      </c>
      <c r="D21" s="24"/>
      <c r="E21" s="24"/>
      <c r="F21" s="26">
        <f t="shared" si="0"/>
        <v>0.7921950416666668</v>
      </c>
    </row>
    <row r="22" spans="2:6" ht="14.25">
      <c r="B22" s="32" t="s">
        <v>78</v>
      </c>
      <c r="C22" s="24">
        <v>18.633621027777775</v>
      </c>
      <c r="D22" s="24"/>
      <c r="E22" s="24"/>
      <c r="F22" s="26">
        <f t="shared" si="0"/>
        <v>18.633621027777775</v>
      </c>
    </row>
    <row r="23" spans="2:6" ht="14.25">
      <c r="B23" s="32" t="s">
        <v>102</v>
      </c>
      <c r="C23" s="24">
        <v>2.595956743119266</v>
      </c>
      <c r="D23" s="24"/>
      <c r="E23" s="24"/>
      <c r="F23" s="26">
        <f t="shared" si="0"/>
        <v>2.595956743119266</v>
      </c>
    </row>
    <row r="24" spans="2:6" ht="12.75">
      <c r="B24" s="35" t="s">
        <v>123</v>
      </c>
      <c r="C24" s="24">
        <v>1.0190746621924305</v>
      </c>
      <c r="D24" s="24"/>
      <c r="E24" s="24"/>
      <c r="F24" s="26">
        <f t="shared" si="0"/>
        <v>1.0190746621924305</v>
      </c>
    </row>
    <row r="25" spans="2:6" ht="14.25">
      <c r="B25" s="32" t="s">
        <v>69</v>
      </c>
      <c r="C25" s="24">
        <v>8.302322388888888</v>
      </c>
      <c r="D25" s="24"/>
      <c r="E25" s="24"/>
      <c r="F25" s="26">
        <f t="shared" si="0"/>
        <v>8.302322388888888</v>
      </c>
    </row>
    <row r="26" spans="2:6" ht="14.25">
      <c r="B26" s="32" t="s">
        <v>90</v>
      </c>
      <c r="C26" s="24">
        <v>4.499323801772249</v>
      </c>
      <c r="D26" s="24"/>
      <c r="E26" s="24"/>
      <c r="F26" s="26">
        <f t="shared" si="0"/>
        <v>4.499323801772249</v>
      </c>
    </row>
    <row r="27" spans="2:6" ht="14.25">
      <c r="B27" s="32" t="s">
        <v>121</v>
      </c>
      <c r="C27" s="24">
        <v>15.84262145329167</v>
      </c>
      <c r="D27" s="24"/>
      <c r="E27" s="24"/>
      <c r="F27" s="26">
        <f t="shared" si="0"/>
        <v>15.84262145329167</v>
      </c>
    </row>
    <row r="28" spans="2:6" ht="14.25">
      <c r="B28" s="32" t="s">
        <v>91</v>
      </c>
      <c r="C28" s="24">
        <v>10.983379840782304</v>
      </c>
      <c r="D28" s="24"/>
      <c r="E28" s="24"/>
      <c r="F28" s="26">
        <f t="shared" si="0"/>
        <v>10.983379840782304</v>
      </c>
    </row>
    <row r="29" spans="2:6" ht="12.75">
      <c r="B29" s="29" t="s">
        <v>74</v>
      </c>
      <c r="C29" s="24">
        <v>22.517366616666667</v>
      </c>
      <c r="D29" s="24"/>
      <c r="E29" s="24"/>
      <c r="F29" s="26">
        <f t="shared" si="0"/>
        <v>22.517366616666667</v>
      </c>
    </row>
    <row r="30" spans="2:6" ht="14.25">
      <c r="B30" s="32" t="s">
        <v>109</v>
      </c>
      <c r="C30" s="24">
        <v>0.4240848888888889</v>
      </c>
      <c r="D30" s="24"/>
      <c r="E30" s="24"/>
      <c r="F30" s="26">
        <f t="shared" si="0"/>
        <v>0.4240848888888889</v>
      </c>
    </row>
    <row r="31" spans="2:6" ht="14.25">
      <c r="B31" s="32" t="s">
        <v>79</v>
      </c>
      <c r="C31" s="24">
        <v>35.45881733333334</v>
      </c>
      <c r="D31" s="24"/>
      <c r="E31" s="24"/>
      <c r="F31" s="26">
        <f t="shared" si="0"/>
        <v>35.45881733333334</v>
      </c>
    </row>
    <row r="32" spans="2:6" ht="14.25">
      <c r="B32" s="32" t="s">
        <v>110</v>
      </c>
      <c r="C32" s="24">
        <v>8.915</v>
      </c>
      <c r="D32" s="24"/>
      <c r="E32" s="24"/>
      <c r="F32" s="26">
        <f t="shared" si="0"/>
        <v>8.915</v>
      </c>
    </row>
    <row r="33" spans="2:6" ht="12.75">
      <c r="B33" s="29" t="s">
        <v>127</v>
      </c>
      <c r="C33" s="24">
        <v>3.13239</v>
      </c>
      <c r="D33" s="24"/>
      <c r="E33" s="24"/>
      <c r="F33" s="26">
        <f t="shared" si="0"/>
        <v>3.13239</v>
      </c>
    </row>
    <row r="34" spans="2:6" ht="12.75">
      <c r="B34" s="29" t="s">
        <v>67</v>
      </c>
      <c r="C34" s="24">
        <v>11.301333333333334</v>
      </c>
      <c r="D34" s="24"/>
      <c r="E34" s="24"/>
      <c r="F34" s="26">
        <f t="shared" si="0"/>
        <v>11.301333333333334</v>
      </c>
    </row>
    <row r="35" spans="2:6" ht="12.75">
      <c r="B35" s="29" t="s">
        <v>89</v>
      </c>
      <c r="C35" s="24">
        <v>5.818916666666667</v>
      </c>
      <c r="D35" s="24"/>
      <c r="E35" s="24"/>
      <c r="F35" s="26">
        <f t="shared" si="0"/>
        <v>5.818916666666667</v>
      </c>
    </row>
    <row r="36" spans="2:6" ht="12.75">
      <c r="B36" s="29"/>
      <c r="C36" s="24"/>
      <c r="D36" s="24"/>
      <c r="E36" s="24"/>
      <c r="F36" s="26"/>
    </row>
    <row r="37" spans="2:6" ht="14.25">
      <c r="B37" s="32"/>
      <c r="C37" s="24"/>
      <c r="D37" s="24"/>
      <c r="E37" s="24"/>
      <c r="F37" s="26">
        <f t="shared" si="0"/>
        <v>0</v>
      </c>
    </row>
    <row r="38" spans="2:6" ht="12.75">
      <c r="B38" s="3" t="s">
        <v>41</v>
      </c>
      <c r="C38" s="15">
        <f>SUM(C8:C37)</f>
        <v>324.208078001587</v>
      </c>
      <c r="D38" s="15">
        <f>SUM(D8:D37)</f>
        <v>0</v>
      </c>
      <c r="E38" s="15">
        <f>SUM(E8:E37)</f>
        <v>0</v>
      </c>
      <c r="F38" s="15">
        <f>SUM(F8:F37)</f>
        <v>324.208078001587</v>
      </c>
    </row>
    <row r="39" spans="2:6" ht="12.75">
      <c r="B39" s="3"/>
      <c r="C39" s="24"/>
      <c r="D39" s="24"/>
      <c r="E39" s="24"/>
      <c r="F39" s="26"/>
    </row>
    <row r="40" spans="2:6" ht="12.75">
      <c r="B40" s="3" t="s">
        <v>53</v>
      </c>
      <c r="C40" s="24"/>
      <c r="D40" s="24"/>
      <c r="E40" s="24"/>
      <c r="F40" s="26"/>
    </row>
    <row r="41" spans="2:6" ht="12.75">
      <c r="B41" s="11" t="s">
        <v>99</v>
      </c>
      <c r="C41" s="24">
        <v>15.731035346454126</v>
      </c>
      <c r="D41" s="24"/>
      <c r="E41" s="24"/>
      <c r="F41" s="26">
        <f aca="true" t="shared" si="1" ref="F41:F65">+C41+D41</f>
        <v>15.731035346454126</v>
      </c>
    </row>
    <row r="42" spans="2:6" ht="12.75">
      <c r="B42" s="11" t="s">
        <v>98</v>
      </c>
      <c r="C42" s="24">
        <v>15.076886789999998</v>
      </c>
      <c r="D42" s="24"/>
      <c r="E42" s="24"/>
      <c r="F42" s="26">
        <f t="shared" si="1"/>
        <v>15.076886789999998</v>
      </c>
    </row>
    <row r="43" spans="2:6" ht="12.75">
      <c r="B43" s="11" t="s">
        <v>111</v>
      </c>
      <c r="C43" s="24">
        <v>11.752756344999998</v>
      </c>
      <c r="D43" s="24"/>
      <c r="E43" s="24"/>
      <c r="F43" s="26">
        <f t="shared" si="1"/>
        <v>11.752756344999998</v>
      </c>
    </row>
    <row r="44" spans="2:6" ht="12.75">
      <c r="B44" s="11" t="s">
        <v>95</v>
      </c>
      <c r="C44" s="24">
        <v>23.543684013645834</v>
      </c>
      <c r="D44" s="24"/>
      <c r="E44" s="24"/>
      <c r="F44" s="26">
        <f t="shared" si="1"/>
        <v>23.543684013645834</v>
      </c>
    </row>
    <row r="45" spans="2:6" ht="12.75">
      <c r="B45" s="11" t="s">
        <v>101</v>
      </c>
      <c r="C45" s="24">
        <v>11.392004971648001</v>
      </c>
      <c r="D45" s="24"/>
      <c r="E45" s="24"/>
      <c r="F45" s="26">
        <f t="shared" si="1"/>
        <v>11.392004971648001</v>
      </c>
    </row>
    <row r="46" spans="2:6" ht="12.75">
      <c r="B46" s="11" t="s">
        <v>124</v>
      </c>
      <c r="C46" s="24">
        <v>16.07694028208333</v>
      </c>
      <c r="D46" s="24"/>
      <c r="E46" s="24"/>
      <c r="F46" s="26">
        <f t="shared" si="1"/>
        <v>16.07694028208333</v>
      </c>
    </row>
    <row r="47" spans="2:6" ht="12.75">
      <c r="B47" s="11" t="s">
        <v>88</v>
      </c>
      <c r="C47" s="24">
        <v>16.23621125</v>
      </c>
      <c r="D47" s="24"/>
      <c r="E47" s="24"/>
      <c r="F47" s="26">
        <f t="shared" si="1"/>
        <v>16.23621125</v>
      </c>
    </row>
    <row r="48" spans="2:6" ht="12.75">
      <c r="B48" s="11" t="s">
        <v>112</v>
      </c>
      <c r="C48" s="24">
        <v>15.498616945245002</v>
      </c>
      <c r="D48" s="24"/>
      <c r="E48" s="24"/>
      <c r="F48" s="26">
        <f t="shared" si="1"/>
        <v>15.498616945245002</v>
      </c>
    </row>
    <row r="49" spans="2:6" ht="12.75">
      <c r="B49" s="11" t="s">
        <v>119</v>
      </c>
      <c r="C49" s="24">
        <v>0.5923032453283763</v>
      </c>
      <c r="D49" s="24"/>
      <c r="E49" s="24"/>
      <c r="F49" s="26">
        <f t="shared" si="1"/>
        <v>0.5923032453283763</v>
      </c>
    </row>
    <row r="50" spans="2:6" ht="12.75">
      <c r="B50" s="11" t="s">
        <v>113</v>
      </c>
      <c r="C50" s="24">
        <v>4.6341377425</v>
      </c>
      <c r="D50" s="24"/>
      <c r="E50" s="24"/>
      <c r="F50" s="26">
        <f t="shared" si="1"/>
        <v>4.6341377425</v>
      </c>
    </row>
    <row r="51" spans="2:6" ht="12.75">
      <c r="B51" s="11" t="s">
        <v>125</v>
      </c>
      <c r="C51" s="24">
        <v>56</v>
      </c>
      <c r="D51" s="24"/>
      <c r="E51" s="24"/>
      <c r="F51" s="26">
        <f t="shared" si="1"/>
        <v>56</v>
      </c>
    </row>
    <row r="52" spans="2:6" ht="12.75">
      <c r="B52" s="11" t="s">
        <v>120</v>
      </c>
      <c r="C52" s="24">
        <v>2.4843180054364478</v>
      </c>
      <c r="D52" s="24"/>
      <c r="E52" s="24"/>
      <c r="F52" s="26">
        <f t="shared" si="1"/>
        <v>2.4843180054364478</v>
      </c>
    </row>
    <row r="53" spans="2:6" ht="12.75">
      <c r="B53" s="11" t="s">
        <v>65</v>
      </c>
      <c r="C53" s="24">
        <v>15.021822686258206</v>
      </c>
      <c r="D53" s="24"/>
      <c r="E53" s="24"/>
      <c r="F53" s="26">
        <f t="shared" si="1"/>
        <v>15.021822686258206</v>
      </c>
    </row>
    <row r="54" spans="2:6" ht="12.75">
      <c r="B54" s="11" t="s">
        <v>64</v>
      </c>
      <c r="C54" s="24">
        <v>10.684012665759559</v>
      </c>
      <c r="D54" s="24"/>
      <c r="E54" s="24"/>
      <c r="F54" s="26">
        <f t="shared" si="1"/>
        <v>10.684012665759559</v>
      </c>
    </row>
    <row r="55" spans="2:6" ht="12.75">
      <c r="B55" s="11" t="s">
        <v>114</v>
      </c>
      <c r="C55" s="24">
        <v>13.113490494410472</v>
      </c>
      <c r="D55" s="24"/>
      <c r="E55" s="24"/>
      <c r="F55" s="26">
        <f t="shared" si="1"/>
        <v>13.113490494410472</v>
      </c>
    </row>
    <row r="56" spans="2:6" ht="12.75">
      <c r="B56" s="11" t="s">
        <v>93</v>
      </c>
      <c r="C56" s="24">
        <v>11.127073071390077</v>
      </c>
      <c r="D56" s="24"/>
      <c r="E56" s="24"/>
      <c r="F56" s="26">
        <f t="shared" si="1"/>
        <v>11.127073071390077</v>
      </c>
    </row>
    <row r="57" spans="2:6" ht="12.75">
      <c r="B57" s="11" t="s">
        <v>115</v>
      </c>
      <c r="C57" s="24">
        <v>1.0022213522222223</v>
      </c>
      <c r="D57" s="24"/>
      <c r="E57" s="24"/>
      <c r="F57" s="26">
        <f t="shared" si="1"/>
        <v>1.0022213522222223</v>
      </c>
    </row>
    <row r="58" spans="2:6" ht="12.75">
      <c r="B58" s="11" t="s">
        <v>94</v>
      </c>
      <c r="C58" s="24">
        <v>7.739940444444445</v>
      </c>
      <c r="D58" s="24"/>
      <c r="E58" s="24"/>
      <c r="F58" s="26">
        <f t="shared" si="1"/>
        <v>7.739940444444445</v>
      </c>
    </row>
    <row r="59" spans="2:6" ht="12.75">
      <c r="B59" s="11" t="s">
        <v>77</v>
      </c>
      <c r="C59" s="24">
        <v>14.255449226666668</v>
      </c>
      <c r="D59" s="24"/>
      <c r="E59" s="24"/>
      <c r="F59" s="26">
        <f t="shared" si="1"/>
        <v>14.255449226666668</v>
      </c>
    </row>
    <row r="60" spans="2:6" ht="12.75">
      <c r="B60" s="11" t="s">
        <v>92</v>
      </c>
      <c r="C60" s="24">
        <v>11.391244214742395</v>
      </c>
      <c r="D60" s="24"/>
      <c r="E60" s="24"/>
      <c r="F60" s="26">
        <f t="shared" si="1"/>
        <v>11.391244214742395</v>
      </c>
    </row>
    <row r="61" spans="2:6" ht="12.75">
      <c r="B61" s="11" t="s">
        <v>116</v>
      </c>
      <c r="C61" s="24">
        <v>9.834153</v>
      </c>
      <c r="D61" s="24"/>
      <c r="E61" s="24"/>
      <c r="F61" s="26">
        <f t="shared" si="1"/>
        <v>9.834153</v>
      </c>
    </row>
    <row r="62" spans="2:6" ht="12.75">
      <c r="B62" s="11" t="s">
        <v>100</v>
      </c>
      <c r="C62" s="24">
        <v>12.855124252976191</v>
      </c>
      <c r="D62" s="24"/>
      <c r="E62" s="24"/>
      <c r="F62" s="26">
        <f t="shared" si="1"/>
        <v>12.855124252976191</v>
      </c>
    </row>
    <row r="63" spans="2:6" ht="12.75">
      <c r="B63" s="11" t="s">
        <v>76</v>
      </c>
      <c r="C63" s="24">
        <v>16.598776444444443</v>
      </c>
      <c r="D63" s="24"/>
      <c r="E63" s="24"/>
      <c r="F63" s="26">
        <f t="shared" si="1"/>
        <v>16.598776444444443</v>
      </c>
    </row>
    <row r="64" spans="2:6" ht="12.75">
      <c r="B64" s="11"/>
      <c r="C64" s="24"/>
      <c r="D64" s="24"/>
      <c r="E64" s="24"/>
      <c r="F64" s="26"/>
    </row>
    <row r="65" spans="2:6" ht="12.75">
      <c r="B65" s="11"/>
      <c r="C65" s="24"/>
      <c r="D65" s="24"/>
      <c r="E65" s="24"/>
      <c r="F65" s="26">
        <f t="shared" si="1"/>
        <v>0</v>
      </c>
    </row>
    <row r="66" spans="2:6" ht="12.75">
      <c r="B66" s="3" t="s">
        <v>42</v>
      </c>
      <c r="C66" s="15">
        <f>SUM(C41:C65)</f>
        <v>312.64220279065586</v>
      </c>
      <c r="D66" s="15">
        <f>SUM(D41:D65)</f>
        <v>0</v>
      </c>
      <c r="E66" s="15">
        <f>SUM(E41:E65)</f>
        <v>0</v>
      </c>
      <c r="F66" s="15">
        <f>SUM(F41:F65)</f>
        <v>312.64220279065586</v>
      </c>
    </row>
    <row r="67" spans="2:6" ht="12.75">
      <c r="B67" s="11"/>
      <c r="C67" s="24"/>
      <c r="D67" s="24"/>
      <c r="E67" s="24"/>
      <c r="F67" s="26"/>
    </row>
    <row r="68" spans="2:6" ht="12.75">
      <c r="B68" s="6" t="s">
        <v>28</v>
      </c>
      <c r="C68" s="15">
        <f>+C38+C66</f>
        <v>636.8502807922429</v>
      </c>
      <c r="D68" s="15">
        <f>+D38+D66</f>
        <v>0</v>
      </c>
      <c r="E68" s="15">
        <f>+E38+E66</f>
        <v>0</v>
      </c>
      <c r="F68" s="15">
        <f>+F38+F66</f>
        <v>636.8502807922429</v>
      </c>
    </row>
    <row r="69" spans="2:6" ht="12.75">
      <c r="B69" s="2"/>
      <c r="C69" s="24"/>
      <c r="D69" s="24"/>
      <c r="E69" s="24"/>
      <c r="F69" s="24"/>
    </row>
    <row r="70" spans="2:6" ht="12.75">
      <c r="B70" s="3" t="s">
        <v>24</v>
      </c>
      <c r="C70" s="24"/>
      <c r="D70" s="24"/>
      <c r="E70" s="24"/>
      <c r="F70" s="24"/>
    </row>
    <row r="71" spans="2:6" ht="12.75">
      <c r="B71" s="6" t="s">
        <v>4</v>
      </c>
      <c r="C71" s="24"/>
      <c r="D71" s="24"/>
      <c r="E71" s="24"/>
      <c r="F71" s="24"/>
    </row>
    <row r="72" spans="2:6" ht="12.75">
      <c r="B72" s="2"/>
      <c r="C72" s="24"/>
      <c r="D72" s="24"/>
      <c r="E72" s="24"/>
      <c r="F72" s="24"/>
    </row>
    <row r="73" spans="2:6" ht="12.75">
      <c r="B73" s="3" t="s">
        <v>54</v>
      </c>
      <c r="C73" s="24"/>
      <c r="D73" s="24"/>
      <c r="E73" s="24"/>
      <c r="F73" s="24"/>
    </row>
    <row r="74" spans="2:6" ht="12.75">
      <c r="B74" s="6" t="s">
        <v>13</v>
      </c>
      <c r="C74" s="24"/>
      <c r="D74" s="24"/>
      <c r="E74" s="24"/>
      <c r="F74" s="24"/>
    </row>
    <row r="75" spans="2:6" ht="12.75">
      <c r="B75" s="2"/>
      <c r="C75" s="24"/>
      <c r="D75" s="24"/>
      <c r="E75" s="24"/>
      <c r="F75" s="24"/>
    </row>
    <row r="76" spans="2:6" ht="12.75">
      <c r="B76" s="3" t="s">
        <v>14</v>
      </c>
      <c r="C76" s="24"/>
      <c r="D76" s="24"/>
      <c r="E76" s="24"/>
      <c r="F76" s="24"/>
    </row>
    <row r="77" spans="2:6" ht="12.75">
      <c r="B77" s="3" t="s">
        <v>25</v>
      </c>
      <c r="C77" s="24">
        <f>14700.3651785206/1000</f>
        <v>14.7003651785206</v>
      </c>
      <c r="D77" s="24"/>
      <c r="E77" s="24"/>
      <c r="F77" s="24">
        <f>+C77+D77</f>
        <v>14.7003651785206</v>
      </c>
    </row>
    <row r="78" spans="2:6" ht="12.75">
      <c r="B78" s="6" t="s">
        <v>26</v>
      </c>
      <c r="C78" s="24">
        <f>122683.580729345/1000</f>
        <v>122.68358072934501</v>
      </c>
      <c r="D78" s="26">
        <f>1171.67803193973/1000</f>
        <v>1.1716780319397302</v>
      </c>
      <c r="E78" s="24">
        <f>320.481379380822/1000</f>
        <v>0.320481379380822</v>
      </c>
      <c r="F78" s="24">
        <f>+C78+D78</f>
        <v>123.85525876128474</v>
      </c>
    </row>
    <row r="79" spans="2:6" ht="12.75">
      <c r="B79" s="3" t="s">
        <v>55</v>
      </c>
      <c r="C79" s="24"/>
      <c r="D79" s="24"/>
      <c r="E79" s="24"/>
      <c r="F79" s="24"/>
    </row>
    <row r="80" spans="2:6" ht="12.75">
      <c r="B80" s="6"/>
      <c r="C80" s="24"/>
      <c r="D80" s="24"/>
      <c r="E80" s="24"/>
      <c r="F80" s="24"/>
    </row>
    <row r="81" spans="2:6" ht="12.75">
      <c r="B81" s="6" t="s">
        <v>56</v>
      </c>
      <c r="C81" s="24"/>
      <c r="D81" s="24"/>
      <c r="E81" s="24"/>
      <c r="F81" s="24"/>
    </row>
    <row r="82" spans="2:8" ht="12.75">
      <c r="B82" s="6" t="s">
        <v>57</v>
      </c>
      <c r="C82" s="24">
        <v>-62.61152300824386</v>
      </c>
      <c r="D82" s="24">
        <v>-1.0685203404301373</v>
      </c>
      <c r="E82" s="24"/>
      <c r="F82" s="24">
        <f>SUM(C82:E82)</f>
        <v>-63.680043348674</v>
      </c>
      <c r="H82" s="28"/>
    </row>
    <row r="83" spans="2:6" ht="12.75">
      <c r="B83" s="6" t="s">
        <v>58</v>
      </c>
      <c r="C83" s="24">
        <v>74.1038335407808</v>
      </c>
      <c r="D83" s="24">
        <v>2.0555546627712333</v>
      </c>
      <c r="E83" s="24"/>
      <c r="F83" s="24">
        <f>SUM(C83:E83)</f>
        <v>76.15938820355203</v>
      </c>
    </row>
    <row r="84" spans="2:6" ht="12.75">
      <c r="B84" s="6" t="s">
        <v>59</v>
      </c>
      <c r="C84" s="15">
        <f>SUM(C82:C83)</f>
        <v>11.49231053253694</v>
      </c>
      <c r="D84" s="15">
        <f>SUM(D82:D83)</f>
        <v>0.987034322341096</v>
      </c>
      <c r="E84" s="15">
        <f>SUM(E82:E83)</f>
        <v>0</v>
      </c>
      <c r="F84" s="15">
        <f>+D84+C84+E84</f>
        <v>12.479344854878036</v>
      </c>
    </row>
    <row r="85" spans="2:6" ht="12.75">
      <c r="B85" s="6"/>
      <c r="C85" s="24"/>
      <c r="D85" s="24"/>
      <c r="E85" s="24"/>
      <c r="F85" s="24"/>
    </row>
    <row r="86" spans="2:6" ht="12.75">
      <c r="B86" s="6" t="s">
        <v>15</v>
      </c>
      <c r="C86" s="24">
        <f>+C84+C68+C78</f>
        <v>771.0261720541248</v>
      </c>
      <c r="D86" s="24">
        <f>+D84+D68+D78</f>
        <v>2.1587123542808264</v>
      </c>
      <c r="E86" s="24">
        <f>+E84+E68+E78</f>
        <v>0.320481379380822</v>
      </c>
      <c r="F86" s="24">
        <f>+F84+F68+F78</f>
        <v>773.1848844084057</v>
      </c>
    </row>
    <row r="87" spans="2:6" ht="12.75">
      <c r="B87" s="6"/>
      <c r="C87" s="24"/>
      <c r="D87" s="24"/>
      <c r="E87" s="24"/>
      <c r="F87" s="24"/>
    </row>
    <row r="88" spans="2:6" ht="12.75">
      <c r="B88" s="6" t="str">
        <f>'נספח 1'!B39</f>
        <v>סך הכל נכסים לסוף תקופה קודמת</v>
      </c>
      <c r="C88" s="15">
        <v>538280</v>
      </c>
      <c r="D88" s="15">
        <v>8476</v>
      </c>
      <c r="E88" s="15">
        <v>2186</v>
      </c>
      <c r="F88" s="15">
        <f>+D88+C88+E88</f>
        <v>548942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Revital Kibel</cp:lastModifiedBy>
  <cp:lastPrinted>2015-05-12T13:21:15Z</cp:lastPrinted>
  <dcterms:created xsi:type="dcterms:W3CDTF">2008-07-07T10:52:30Z</dcterms:created>
  <dcterms:modified xsi:type="dcterms:W3CDTF">2019-11-25T08:14:52Z</dcterms:modified>
  <cp:category/>
  <cp:version/>
  <cp:contentType/>
  <cp:contentStatus/>
</cp:coreProperties>
</file>